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Serviço_DF anual" sheetId="1" r:id="rId1"/>
    <sheet name="Serviço_DF mensal " sheetId="2" r:id="rId2"/>
    <sheet name="Serviço_DF previsão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speixoto</author>
  </authors>
  <commentList>
    <comment ref="A18" authorId="0">
      <text>
        <r>
          <rPr>
            <b/>
            <sz val="8"/>
            <rFont val="Tahoma"/>
            <family val="2"/>
          </rPr>
          <t>speixoto:</t>
        </r>
        <r>
          <rPr>
            <sz val="8"/>
            <rFont val="Tahoma"/>
            <family val="2"/>
          </rPr>
          <t xml:space="preserve">
A COMISSÃO ESTÁ LANÇADA NA EXTRA LIMITE</t>
        </r>
      </text>
    </comment>
  </commentList>
</comments>
</file>

<file path=xl/sharedStrings.xml><?xml version="1.0" encoding="utf-8"?>
<sst xmlns="http://schemas.openxmlformats.org/spreadsheetml/2006/main" count="589" uniqueCount="300">
  <si>
    <t>Principal</t>
  </si>
  <si>
    <t>Total</t>
  </si>
  <si>
    <t>ADM. DIRETA</t>
  </si>
  <si>
    <t>INTRALIMITE</t>
  </si>
  <si>
    <t>EXTRALIMITE</t>
  </si>
  <si>
    <t>INTERNA</t>
  </si>
  <si>
    <t xml:space="preserve">EXTERNA </t>
  </si>
  <si>
    <t>ADM. INDIRETA HONRADA</t>
  </si>
  <si>
    <t>TOTAL</t>
  </si>
  <si>
    <t>janeiro</t>
  </si>
  <si>
    <t>fevereiro</t>
  </si>
  <si>
    <t>março</t>
  </si>
  <si>
    <t>abril</t>
  </si>
  <si>
    <t>Gráfico de linha com a evolução da dívida</t>
  </si>
  <si>
    <t>Interna</t>
  </si>
  <si>
    <t>Externa</t>
  </si>
  <si>
    <t>Juros &amp; Encargos</t>
  </si>
  <si>
    <t>RLR</t>
  </si>
  <si>
    <t>% DF/RLR</t>
  </si>
  <si>
    <t>DÍVIDA INTERNA</t>
  </si>
  <si>
    <t>DÍVIDA EXTERNA</t>
  </si>
  <si>
    <t>DÍVIDA INTRALIMITE</t>
  </si>
  <si>
    <t>DÍVIDA EXTRALIMITE</t>
  </si>
  <si>
    <t>Administração Direta</t>
  </si>
  <si>
    <t>Intra-Limite</t>
  </si>
  <si>
    <t>Extra-Limite</t>
  </si>
  <si>
    <t>Adm. Direta Extra-Limite</t>
  </si>
  <si>
    <t xml:space="preserve">Serviço da Dívida Financeira Pública do ERJ (Adm.Dir. + Adm.Ind.Honradas) </t>
  </si>
  <si>
    <t>% DÍVIDA FIN/RLR</t>
  </si>
  <si>
    <t>1. Dívida Financeira do ERJ - comparativo anual</t>
  </si>
  <si>
    <t>2. Dívida Financeira do ERJ - comparativo mensal</t>
  </si>
  <si>
    <t xml:space="preserve">Saldo das dívidas assumidas por meio de contrato ou de emissão de títulos, exigíveis no curto ou no longo prazo, na posição de 31 de dezembro, em que o mutuário é o  Estado. São considerados também os saldos das dívidas da administração indireta honradas pelo Tesouro do Estado,independentemente de terem sido assumidas formalmente.                                                                                                                                                                                                                                     Difere do conceito da Lei Complementar nº 101/00 quanto à composição e à abrangência.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</si>
  <si>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 R$ 1,00</t>
  </si>
  <si>
    <t>maio</t>
  </si>
  <si>
    <t>junho</t>
  </si>
  <si>
    <t>julho</t>
  </si>
  <si>
    <t>agosto</t>
  </si>
  <si>
    <t>setembro</t>
  </si>
  <si>
    <t>JAN</t>
  </si>
  <si>
    <t>FEV</t>
  </si>
  <si>
    <t>MAR</t>
  </si>
  <si>
    <t>MAI</t>
  </si>
  <si>
    <t>JUN</t>
  </si>
  <si>
    <t>JUL</t>
  </si>
  <si>
    <t>AGO</t>
  </si>
  <si>
    <t>SET</t>
  </si>
  <si>
    <t>OUT</t>
  </si>
  <si>
    <t>NOV</t>
  </si>
  <si>
    <t>DEZ</t>
  </si>
  <si>
    <t>outubro</t>
  </si>
  <si>
    <t>novembro</t>
  </si>
  <si>
    <t>dezembro</t>
  </si>
  <si>
    <t>2010</t>
  </si>
  <si>
    <t>ABR</t>
  </si>
  <si>
    <t>2011</t>
  </si>
  <si>
    <t>12.1.159</t>
  </si>
  <si>
    <t>12.1.163</t>
  </si>
  <si>
    <t>12.1.162</t>
  </si>
  <si>
    <t>12.1.171</t>
  </si>
  <si>
    <t>12.1.166</t>
  </si>
  <si>
    <t>12.1.179 + 12.1.180 + 12.1.181 + 12.1.182 + 12.1.183 + 12.1.184</t>
  </si>
  <si>
    <t>21.1.022</t>
  </si>
  <si>
    <t>21.1.019</t>
  </si>
  <si>
    <t>21.1.020</t>
  </si>
  <si>
    <t>21.1.021</t>
  </si>
  <si>
    <t>21.1.023</t>
  </si>
  <si>
    <t>21.1.024</t>
  </si>
  <si>
    <t>21.1.014</t>
  </si>
  <si>
    <t>21.1.028</t>
  </si>
  <si>
    <t>21.1.029</t>
  </si>
  <si>
    <t>12.1.185</t>
  </si>
  <si>
    <t>12.1.188</t>
  </si>
  <si>
    <t>PMU</t>
  </si>
  <si>
    <t>21.1.030</t>
  </si>
  <si>
    <t>21.1.031</t>
  </si>
  <si>
    <t>21.1.026</t>
  </si>
  <si>
    <t>21.1.027</t>
  </si>
  <si>
    <t>12.1.187</t>
  </si>
  <si>
    <t>12.1.190</t>
  </si>
  <si>
    <t>12.1.157 (Principal e Juros)</t>
  </si>
  <si>
    <t>2012</t>
  </si>
  <si>
    <t>21.1.032</t>
  </si>
  <si>
    <t>12.1.191</t>
  </si>
  <si>
    <t>12.1.192</t>
  </si>
  <si>
    <t>21.1.034</t>
  </si>
  <si>
    <t>2013</t>
  </si>
  <si>
    <t>21.1.016 + 21.1.017 + 21.1.025</t>
  </si>
  <si>
    <t>2014</t>
  </si>
  <si>
    <t>12.1.189</t>
  </si>
  <si>
    <t>RLR (*)</t>
  </si>
  <si>
    <t>(*) RLR calculada para fins de pagamento.</t>
  </si>
  <si>
    <t>21.1.035</t>
  </si>
  <si>
    <t>12.1.195</t>
  </si>
  <si>
    <t>12.1.196</t>
  </si>
  <si>
    <t>21.1.033</t>
  </si>
  <si>
    <t>2015</t>
  </si>
  <si>
    <t>12.1.142 + 12.1.143</t>
  </si>
  <si>
    <t>21.1.018</t>
  </si>
  <si>
    <t>2016</t>
  </si>
  <si>
    <t>2017</t>
  </si>
  <si>
    <t>2018</t>
  </si>
  <si>
    <t>2019</t>
  </si>
  <si>
    <t>2020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</si>
  <si>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</si>
  <si>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</si>
  <si>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</si>
  <si>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</si>
  <si>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</si>
  <si>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</si>
  <si>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</si>
  <si>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</si>
  <si>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</si>
  <si>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</si>
  <si>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</si>
  <si>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</si>
  <si>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</si>
  <si>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</si>
  <si>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</si>
  <si>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</si>
  <si>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</si>
  <si>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</si>
  <si>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</si>
  <si>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</si>
  <si>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</si>
  <si>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</si>
  <si>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</si>
  <si>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</si>
  <si>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</si>
  <si>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21.1.018 + 21.1.033</t>
  </si>
  <si>
    <t>ADM DIRETA</t>
  </si>
  <si>
    <t>DIF</t>
  </si>
  <si>
    <t>INTRA</t>
  </si>
  <si>
    <t>EXTRA</t>
  </si>
  <si>
    <t>EXTERNA</t>
  </si>
  <si>
    <t xml:space="preserve">   UNIÃO</t>
  </si>
  <si>
    <t xml:space="preserve">  CREDIT SUISSE</t>
  </si>
  <si>
    <t xml:space="preserve">  BANCO DO BRASIL</t>
  </si>
  <si>
    <t xml:space="preserve">  CAIXA ECONÔMICA FEDERAL</t>
  </si>
  <si>
    <t xml:space="preserve">  BNDES</t>
  </si>
  <si>
    <t xml:space="preserve"> SECRTETARIA DA RECEITA FEDERAL</t>
  </si>
  <si>
    <t xml:space="preserve"> MUNICÍPIOS</t>
  </si>
  <si>
    <t>Banco Interamericano de Desenvolvimento</t>
  </si>
  <si>
    <t>Japan Bank for International Cooperation</t>
  </si>
  <si>
    <t>Banco Intern. para Reconstrução e Desenv.</t>
  </si>
  <si>
    <t>Corporação Andina de Fomento</t>
  </si>
  <si>
    <t>Agênica Francesa de Desenvolvimento</t>
  </si>
  <si>
    <t xml:space="preserve">12.1.193 </t>
  </si>
  <si>
    <t>12.1.194C</t>
  </si>
  <si>
    <t>12.1.194D</t>
  </si>
  <si>
    <t>12.1.199E</t>
  </si>
  <si>
    <t>12.1.199F</t>
  </si>
  <si>
    <t xml:space="preserve">   Refin. Lei Federal nº 9.496/97</t>
  </si>
  <si>
    <t xml:space="preserve">   BACEN - Assunção Div. BERJ</t>
  </si>
  <si>
    <t xml:space="preserve">   BONUS/DMLP </t>
  </si>
  <si>
    <t xml:space="preserve">   Refin. Lei Federal nº 8.727/93 - ESTADO</t>
  </si>
  <si>
    <t xml:space="preserve">   Refin. Lei Federal nº 8.727/93 - CEHAB</t>
  </si>
  <si>
    <t xml:space="preserve">   Refin. Lei Federal nº 8.727/93 - BANERJ</t>
  </si>
  <si>
    <t xml:space="preserve">   Refin. Lei Federal nº  7.976/89</t>
  </si>
  <si>
    <t xml:space="preserve">    STN - Perdas FUNDEF Lei Federal nº 9.424/96</t>
  </si>
  <si>
    <t xml:space="preserve">    EXPANSÃO DO METRÔ</t>
  </si>
  <si>
    <t xml:space="preserve">    PMAE  I &amp; II</t>
  </si>
  <si>
    <t xml:space="preserve">    DELEGACIA LEGAL</t>
  </si>
  <si>
    <t xml:space="preserve">    PROCOPA</t>
  </si>
  <si>
    <t xml:space="preserve">    METRÔ LINHA 4 (ESTUDOS E PROJETOS)</t>
  </si>
  <si>
    <t xml:space="preserve">    PRÓ ML4 </t>
  </si>
  <si>
    <t xml:space="preserve">    PRÓ ML4 ADICIONAL (Subcrédito C)</t>
  </si>
  <si>
    <t xml:space="preserve">    PRÓ ML4 ADICIONAL (Subcrédito D)</t>
  </si>
  <si>
    <t xml:space="preserve">   PNAFE</t>
  </si>
  <si>
    <t xml:space="preserve">   SANEAMENTO I</t>
  </si>
  <si>
    <t xml:space="preserve">   SANEAMENTO II</t>
  </si>
  <si>
    <t xml:space="preserve">   CONTRAPARTIDA PAC</t>
  </si>
  <si>
    <t xml:space="preserve">   PROCOI</t>
  </si>
  <si>
    <t xml:space="preserve">   VIA LIGHT</t>
  </si>
  <si>
    <t xml:space="preserve">    PEF  I &amp; II</t>
  </si>
  <si>
    <t xml:space="preserve">    SEAPPA I &amp; II</t>
  </si>
  <si>
    <t xml:space="preserve">    PRÓ CIDADES</t>
  </si>
  <si>
    <t xml:space="preserve">    PRÓ INVESTE</t>
  </si>
  <si>
    <t xml:space="preserve">    PRÓ CIDADES II</t>
  </si>
  <si>
    <t xml:space="preserve">    Refin. Lei Federal nº 9.496/97 (Comissão)</t>
  </si>
  <si>
    <t xml:space="preserve">    PRODES</t>
  </si>
  <si>
    <t xml:space="preserve">    PROSUT</t>
  </si>
  <si>
    <t xml:space="preserve">   Parcelamento PASEP - MP nº 38/02</t>
  </si>
  <si>
    <t xml:space="preserve">   Parcelamento  Lei Federal nº 11.941/2009</t>
  </si>
  <si>
    <t xml:space="preserve">    PNB</t>
  </si>
  <si>
    <t xml:space="preserve">    PDBG (US$ 50milhões)</t>
  </si>
  <si>
    <t xml:space="preserve">    PDBG (US$ 300milhões)</t>
  </si>
  <si>
    <t xml:space="preserve">    PROFAZ</t>
  </si>
  <si>
    <t xml:space="preserve">   PRODETUR</t>
  </si>
  <si>
    <t xml:space="preserve">    PSAM</t>
  </si>
  <si>
    <t xml:space="preserve">    INCLUSÃO SOCIAL</t>
  </si>
  <si>
    <t xml:space="preserve">    PDBG (US$ 294,2milhões/JPY$ 31,475 milhões )</t>
  </si>
  <si>
    <t xml:space="preserve">    REFORMA DO ESTADO</t>
  </si>
  <si>
    <t xml:space="preserve">    PET,  PET Adicional e PET II</t>
  </si>
  <si>
    <t xml:space="preserve">    RIO RURAL </t>
  </si>
  <si>
    <t xml:space="preserve">    PRODESF / DPL I</t>
  </si>
  <si>
    <t xml:space="preserve">    PRÓ-GESTÃO I</t>
  </si>
  <si>
    <t xml:space="preserve">    PROHDUMS / DPL II</t>
  </si>
  <si>
    <t xml:space="preserve">    RIO RURAL Adicional</t>
  </si>
  <si>
    <t xml:space="preserve">    PROMIT / DPL IV</t>
  </si>
  <si>
    <t xml:space="preserve">    PRÓ-GESTÃO II</t>
  </si>
  <si>
    <t xml:space="preserve">    PRODESF II / DPL III</t>
  </si>
  <si>
    <t xml:space="preserve">    POE</t>
  </si>
  <si>
    <t xml:space="preserve">    PRÓVIAS</t>
  </si>
  <si>
    <t xml:space="preserve">    PROCOPA II</t>
  </si>
  <si>
    <t xml:space="preserve">    ARCO METROPOLITANO</t>
  </si>
  <si>
    <t xml:space="preserve">   PMU</t>
  </si>
  <si>
    <t xml:space="preserve">    Refin. Lei Federal nº 9.496/97</t>
  </si>
  <si>
    <t xml:space="preserve">    BACEN - Assunção Div. BERJ</t>
  </si>
  <si>
    <t xml:space="preserve">    BONUS/DMLP</t>
  </si>
  <si>
    <t xml:space="preserve">    Refin. Lei Federal nº 8.727/93 - CEHAB</t>
  </si>
  <si>
    <t xml:space="preserve">    PRÓ ML4 ADICIONAL II (Subcrédito E)</t>
  </si>
  <si>
    <t xml:space="preserve">    PRÓ ML4 ADICIONAL II (Subcrédito F)</t>
  </si>
  <si>
    <t xml:space="preserve">    Parcelamento PASEP - MP nº 38/02</t>
  </si>
  <si>
    <t xml:space="preserve">    Parcelamento  Lei Federal nº 11.941/2009</t>
  </si>
  <si>
    <t xml:space="preserve"> PNB</t>
  </si>
  <si>
    <t xml:space="preserve"> PROFAZ</t>
  </si>
  <si>
    <t xml:space="preserve"> PRODETUR</t>
  </si>
  <si>
    <t xml:space="preserve"> PSAM</t>
  </si>
  <si>
    <t xml:space="preserve"> INCLUSÃO SOCIAL</t>
  </si>
  <si>
    <t xml:space="preserve"> PET Adicional,  PET II e PET II Adicional</t>
  </si>
  <si>
    <t xml:space="preserve"> RIO RURAL </t>
  </si>
  <si>
    <t xml:space="preserve"> PRODESF / DPL I</t>
  </si>
  <si>
    <t xml:space="preserve"> PRÓ-GESTÃO I</t>
  </si>
  <si>
    <t xml:space="preserve"> PROHDUMS / DPL II</t>
  </si>
  <si>
    <t xml:space="preserve"> RIO RURAL Adicional</t>
  </si>
  <si>
    <t xml:space="preserve"> PROMIT / DPL IV</t>
  </si>
  <si>
    <t xml:space="preserve"> PRÓ-GESTÃO II</t>
  </si>
  <si>
    <t xml:space="preserve"> PRODESF II / DPL III</t>
  </si>
  <si>
    <t xml:space="preserve"> POE</t>
  </si>
  <si>
    <t xml:space="preserve"> PRÓVIAS</t>
  </si>
  <si>
    <t xml:space="preserve"> PROCOPA II</t>
  </si>
  <si>
    <t xml:space="preserve"> ARCO METROPOLITANO</t>
  </si>
  <si>
    <t xml:space="preserve">  INTERNA</t>
  </si>
  <si>
    <t xml:space="preserve">  EXTERNA </t>
  </si>
  <si>
    <t xml:space="preserve">    TÍTULOS</t>
  </si>
  <si>
    <t xml:space="preserve"> 12.1.168 + 12.1.169 + 12.1.169A</t>
  </si>
  <si>
    <t>2047</t>
  </si>
  <si>
    <t>2048</t>
  </si>
  <si>
    <t>2049</t>
  </si>
  <si>
    <t>2050</t>
  </si>
  <si>
    <t>2005</t>
  </si>
  <si>
    <t>2004</t>
  </si>
  <si>
    <t>2003</t>
  </si>
  <si>
    <t>2002</t>
  </si>
  <si>
    <t>2001</t>
  </si>
  <si>
    <t>2000</t>
  </si>
  <si>
    <t>1999</t>
  </si>
  <si>
    <t>1998</t>
  </si>
  <si>
    <t>1994</t>
  </si>
  <si>
    <t>1995</t>
  </si>
  <si>
    <t>1996</t>
  </si>
  <si>
    <t>1997</t>
  </si>
  <si>
    <t xml:space="preserve">   Parcelamento INSS/PASEP (PGFN) - MP nº 778 e 783/17</t>
  </si>
  <si>
    <t xml:space="preserve"> BNP PARIBAS</t>
  </si>
  <si>
    <t xml:space="preserve">  Antecipação da Receita da CEDAE</t>
  </si>
  <si>
    <t>12.1.200+12.1.201.12.1.202</t>
  </si>
  <si>
    <t>12.1.197 + 12.1.198</t>
  </si>
  <si>
    <t>12.1.200 + 12.1.201 + 12.1.202</t>
  </si>
  <si>
    <t xml:space="preserve">Serviço da Dívida Financeira do ERJ (Adim.Dir. + Adim.Ind.Honradas) </t>
  </si>
  <si>
    <t>2051</t>
  </si>
  <si>
    <t xml:space="preserve">3. Previsão Projetada do Serviço da Dívida Financeira do ERJ </t>
  </si>
  <si>
    <t>12.1.197 e 12.1.198</t>
  </si>
  <si>
    <t>Dívida Financeira</t>
  </si>
  <si>
    <t xml:space="preserve">   Conta Gráfica - PRF/LC159-2017</t>
  </si>
  <si>
    <t>TESTE DOS TOTAIS</t>
  </si>
  <si>
    <t xml:space="preserve">   Parcelamento INSS - MP nº 2.187/01 - MP nº 778 e 783/17</t>
  </si>
  <si>
    <t xml:space="preserve">   Parcelamento  Transf. Municipais</t>
  </si>
  <si>
    <t>2021</t>
  </si>
  <si>
    <t xml:space="preserve"> 12.1.169 + 12.1.169A</t>
  </si>
  <si>
    <t xml:space="preserve">    STN - BONUS/DMLP - 12.1.142</t>
  </si>
  <si>
    <t xml:space="preserve">    STN - BONUS/DMLP - 12.1.143</t>
  </si>
  <si>
    <t xml:space="preserve">    STN - Refin. Lei Federal nº 9.496/97 - 12.1.157</t>
  </si>
  <si>
    <t xml:space="preserve">    STN - Art. 9A LC159/2017 - PRF - 12.1.204</t>
  </si>
  <si>
    <t xml:space="preserve">    STN - Refin. Lei Federal nº 8.727/93 - CEHAB - 12.1.163</t>
  </si>
  <si>
    <t xml:space="preserve">    BNDES - EXPANSÃO DO METRÔ - 12.1.169</t>
  </si>
  <si>
    <t xml:space="preserve">    BNDES - EXPANSÃO DO METRÔ - 12.1.169A</t>
  </si>
  <si>
    <t xml:space="preserve">    BNDES - METRÔ LINHA 4 (ESTUDOS E PROJETOS) - 12.1.188</t>
  </si>
  <si>
    <t xml:space="preserve">    CEF/SANEAMENTO I e II - (Garantidos pela União) - 12.1.171 e 12.1.189</t>
  </si>
  <si>
    <t xml:space="preserve">    BNDES - PRÓ ML4 - (Garantidos pela União) - 12.1.193 a 12.1.199</t>
  </si>
  <si>
    <t xml:space="preserve">    BANCO DO BRASIL - PRÓ CIDADES I e II - (Garantidos pela União) - 12.1.187 e 12.1.192</t>
  </si>
  <si>
    <t xml:space="preserve">    BANCO DO BRASIL -  PRÓ INVESTE - (Garantido pela União) - 12.1.190</t>
  </si>
  <si>
    <t xml:space="preserve">    CEF/PROCOI - (Garantido pela União) - 12.1.191</t>
  </si>
  <si>
    <t xml:space="preserve">    CREDIT SUISSE - PRODES e PROSUT- (Garantidos pela União) - 12.1.195 e 12.1.196</t>
  </si>
  <si>
    <t xml:space="preserve">    SRF - Parcelamento PASEP - MP nº 38/02  -12.1.166</t>
  </si>
  <si>
    <t xml:space="preserve">    SRF - Parcelamento  Lei Federal nº 11.941/2009 - 12.1.179 a 12.1.184</t>
  </si>
  <si>
    <t xml:space="preserve">    SRF - Parcelamento  M.P. nº 783/2017 - 12.1.200 a 12.1.202</t>
  </si>
  <si>
    <t xml:space="preserve">   BNP PARIBAS -   Antecipação da Receita da CEDAE  - (Garantido pela União) - 12.1.203</t>
  </si>
  <si>
    <t xml:space="preserve">    CAF - ARCO METROPOLITANO - (Garantido pela União) - 21.1.031</t>
  </si>
  <si>
    <t xml:space="preserve">    CAF - PROCOPA II - (Garantido pela União) - 21.1.030</t>
  </si>
  <si>
    <t xml:space="preserve">     CAF - POE e PROVIAS - (Garantido pela União) - 21.1.026 e 21.1.027</t>
  </si>
  <si>
    <t xml:space="preserve">     BID - PNB - (Garantido pela União) - 21.1.014</t>
  </si>
  <si>
    <t xml:space="preserve">     AFD - PMU - (Garantido pela União) - 21.1.028</t>
  </si>
  <si>
    <t xml:space="preserve">     BIRD e BID - Garantidos pela União</t>
  </si>
  <si>
    <t xml:space="preserve">   Conta Gráfica - PRF/LC159-2017 e LC178/2021</t>
  </si>
  <si>
    <t>Dívida Financeira do ERJ (Adim.Dir. + Adim.Ind.Honradas) - 2024</t>
  </si>
  <si>
    <t>CEDAE</t>
  </si>
  <si>
    <t xml:space="preserve">    CEDAE - Parcelamentos Encontro de Contas - 12.1.207 e 12.1.208</t>
  </si>
  <si>
    <t>Data-Base: 29/02/2024</t>
  </si>
  <si>
    <t xml:space="preserve">   Parcelamento  - 8º termo Aditivo</t>
  </si>
  <si>
    <t xml:space="preserve">   Dividendos - Termo nº 017/2023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</si>
</sst>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General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%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0.0"/>
    <numFmt numFmtId="184" formatCode="0.0000"/>
    <numFmt numFmtId="185" formatCode="0.000"/>
    <numFmt numFmtId="186" formatCode="0.000000"/>
    <numFmt numFmtId="187" formatCode="0.00000"/>
    <numFmt numFmtId="188" formatCode="[$-416]dddd\,\ d&quot; de &quot;mmmm&quot; de &quot;yyyy"/>
    <numFmt numFmtId="189" formatCode="_(* #,##0.000_);_(* \(#,##0.000\);_(* &quot;-&quot;??_);_(@_)"/>
    <numFmt numFmtId="190" formatCode="_(* #,##0.0000_);_(* \(#,##0.0000\);_(* &quot;-&quot;??_);_(@_)"/>
    <numFmt numFmtId="191" formatCode="_(* #,##0.0_);_(* \(#,##0.0\);_(* &quot;-&quot;??_);_(@_)"/>
    <numFmt numFmtId="192" formatCode="_(* #,##0_);_(* \(#,##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_(* #,##0.000000000_);_(* \(#,##0.000000000\);_(* &quot;-&quot;??_);_(@_)"/>
    <numFmt numFmtId="198" formatCode="_(* #,##0.0000000000_);_(* \(#,##0.0000000000\);_(* &quot;-&quot;??_);_(@_)"/>
    <numFmt numFmtId="199" formatCode="_(* #,##0.00000000000_);_(* \(#,##0.00000000000\);_(* &quot;-&quot;??_);_(@_)"/>
    <numFmt numFmtId="200" formatCode="_(* #,##0.000000000000_);_(* \(#,##0.000000000000\);_(* &quot;-&quot;??_);_(@_)"/>
    <numFmt numFmtId="201" formatCode="_(* #,##0.0000000000000_);_(* \(#,##0.0000000000000\);_(* &quot;-&quot;??_);_(@_)"/>
    <numFmt numFmtId="202" formatCode="_(* #,##0.00000000000000_);_(* \(#,##0.00000000000000\);_(* &quot;-&quot;??_);_(@_)"/>
    <numFmt numFmtId="203" formatCode="#,##0.0_);[Red]\(#,##0.0\)"/>
    <numFmt numFmtId="204" formatCode="#,##0.000_);[Red]\(#,##0.000\)"/>
    <numFmt numFmtId="205" formatCode="#,##0.0000_);[Red]\(#,##0.0000\)"/>
    <numFmt numFmtId="206" formatCode="mmm/yyyy"/>
    <numFmt numFmtId="207" formatCode="#,##0.00000_);[Red]\(#,##0.00000\)"/>
    <numFmt numFmtId="208" formatCode="#,##0.000000_);[Red]\(#,##0.000000\)"/>
    <numFmt numFmtId="209" formatCode="#,##0.00_ ;[Red]\-#,##0.00\ "/>
    <numFmt numFmtId="210" formatCode="#,##0.00_ ;\-#,##0.00\ "/>
    <numFmt numFmtId="211" formatCode="#,##0_);[Red]\(#,##0\)"/>
    <numFmt numFmtId="212" formatCode="#,##0.0;[Red]\-#,##0.0"/>
    <numFmt numFmtId="213" formatCode="#,##0.000;[Red]\-#,##0.000"/>
    <numFmt numFmtId="214" formatCode="#,##0.0000;[Red]\-#,##0.0000"/>
    <numFmt numFmtId="215" formatCode="#,##0.00000;[Red]\-#,##0.00000"/>
    <numFmt numFmtId="216" formatCode="#,##0.000000;[Red]\-#,##0.000000"/>
    <numFmt numFmtId="217" formatCode="&quot;Ativado&quot;;&quot;Ativado&quot;;&quot;Desativado&quot;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18"/>
      <color indexed="8"/>
      <name val="Calibri"/>
      <family val="0"/>
    </font>
    <font>
      <b/>
      <sz val="18"/>
      <color indexed="8"/>
      <name val="Calibri"/>
      <family val="0"/>
    </font>
    <font>
      <sz val="9.25"/>
      <color indexed="8"/>
      <name val="Calibri"/>
      <family val="0"/>
    </font>
    <font>
      <sz val="8.85"/>
      <color indexed="8"/>
      <name val="Calibri"/>
      <family val="0"/>
    </font>
    <font>
      <sz val="16"/>
      <color indexed="8"/>
      <name val="Calibri"/>
      <family val="0"/>
    </font>
    <font>
      <sz val="11.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0"/>
      <color indexed="9"/>
      <name val="Calibri"/>
      <family val="2"/>
    </font>
    <font>
      <b/>
      <sz val="14"/>
      <color indexed="8"/>
      <name val="Calibri"/>
      <family val="2"/>
    </font>
    <font>
      <sz val="20"/>
      <color indexed="10"/>
      <name val="Calibri"/>
      <family val="2"/>
    </font>
    <font>
      <sz val="12"/>
      <color indexed="10"/>
      <name val="Calibri"/>
      <family val="2"/>
    </font>
    <font>
      <sz val="9"/>
      <color indexed="8"/>
      <name val="Calibri"/>
      <family val="2"/>
    </font>
    <font>
      <sz val="18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8"/>
      <color indexed="9"/>
      <name val="Calibri"/>
      <family val="2"/>
    </font>
    <font>
      <sz val="10"/>
      <color indexed="10"/>
      <name val="Calibri"/>
      <family val="2"/>
    </font>
    <font>
      <sz val="11"/>
      <color indexed="63"/>
      <name val="Calibri"/>
      <family val="2"/>
    </font>
    <font>
      <b/>
      <sz val="12"/>
      <color indexed="9"/>
      <name val="Arial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sz val="8"/>
      <color indexed="10"/>
      <name val="Calibri"/>
      <family val="2"/>
    </font>
    <font>
      <sz val="9"/>
      <color indexed="10"/>
      <name val="Calibri"/>
      <family val="2"/>
    </font>
    <font>
      <sz val="14"/>
      <color indexed="10"/>
      <name val="Calibri"/>
      <family val="2"/>
    </font>
    <font>
      <b/>
      <sz val="12"/>
      <color indexed="9"/>
      <name val="Calibri"/>
      <family val="2"/>
    </font>
    <font>
      <i/>
      <sz val="11"/>
      <color indexed="9"/>
      <name val="Calibri"/>
      <family val="2"/>
    </font>
    <font>
      <i/>
      <sz val="11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0"/>
      <color theme="0"/>
      <name val="Calibri"/>
      <family val="2"/>
    </font>
    <font>
      <b/>
      <sz val="14"/>
      <color theme="1"/>
      <name val="Calibri"/>
      <family val="2"/>
    </font>
    <font>
      <sz val="20"/>
      <color rgb="FFFF0000"/>
      <name val="Calibri"/>
      <family val="2"/>
    </font>
    <font>
      <sz val="12"/>
      <color rgb="FFFF0000"/>
      <name val="Calibri"/>
      <family val="2"/>
    </font>
    <font>
      <sz val="9"/>
      <color theme="1"/>
      <name val="Calibri"/>
      <family val="2"/>
    </font>
    <font>
      <sz val="18"/>
      <color rgb="FFFF0000"/>
      <name val="Calibri"/>
      <family val="2"/>
    </font>
    <font>
      <sz val="11"/>
      <color theme="5"/>
      <name val="Calibri"/>
      <family val="2"/>
    </font>
    <font>
      <sz val="10"/>
      <color theme="1"/>
      <name val="Calibri"/>
      <family val="2"/>
    </font>
    <font>
      <sz val="18"/>
      <color theme="0"/>
      <name val="Calibri"/>
      <family val="2"/>
    </font>
    <font>
      <sz val="10"/>
      <color rgb="FFFF0000"/>
      <name val="Calibri"/>
      <family val="2"/>
    </font>
    <font>
      <sz val="11"/>
      <color rgb="FF222222"/>
      <name val="Calibri"/>
      <family val="2"/>
    </font>
    <font>
      <b/>
      <sz val="12"/>
      <color theme="0"/>
      <name val="Arial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sz val="8"/>
      <color rgb="FFFF0000"/>
      <name val="Calibri"/>
      <family val="2"/>
    </font>
    <font>
      <sz val="9"/>
      <color rgb="FFFF0000"/>
      <name val="Calibri"/>
      <family val="2"/>
    </font>
    <font>
      <sz val="14"/>
      <color rgb="FFFF0000"/>
      <name val="Calibri"/>
      <family val="2"/>
    </font>
    <font>
      <b/>
      <sz val="12"/>
      <color theme="0"/>
      <name val="Calibri"/>
      <family val="2"/>
    </font>
    <font>
      <i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9" fillId="32" borderId="0" applyNumberFormat="0" applyBorder="0" applyAlignment="0" applyProtection="0"/>
    <xf numFmtId="0" fontId="70" fillId="21" borderId="5" applyNumberFormat="0" applyAlignment="0" applyProtection="0"/>
    <xf numFmtId="16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8" fillId="0" borderId="0" xfId="0" applyFont="1" applyAlignment="1">
      <alignment/>
    </xf>
    <xf numFmtId="38" fontId="3" fillId="33" borderId="10" xfId="64" applyNumberFormat="1" applyFont="1" applyFill="1" applyBorder="1" applyAlignment="1">
      <alignment/>
    </xf>
    <xf numFmtId="38" fontId="0" fillId="0" borderId="0" xfId="0" applyNumberFormat="1" applyAlignment="1">
      <alignment/>
    </xf>
    <xf numFmtId="0" fontId="77" fillId="0" borderId="0" xfId="0" applyFont="1" applyAlignment="1">
      <alignment/>
    </xf>
    <xf numFmtId="38" fontId="3" fillId="33" borderId="10" xfId="64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wrapText="1"/>
    </xf>
    <xf numFmtId="38" fontId="80" fillId="0" borderId="10" xfId="0" applyNumberFormat="1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2" fillId="14" borderId="10" xfId="0" applyFont="1" applyFill="1" applyBorder="1" applyAlignment="1">
      <alignment/>
    </xf>
    <xf numFmtId="0" fontId="81" fillId="34" borderId="10" xfId="0" applyFont="1" applyFill="1" applyBorder="1" applyAlignment="1">
      <alignment/>
    </xf>
    <xf numFmtId="0" fontId="82" fillId="34" borderId="10" xfId="0" applyFont="1" applyFill="1" applyBorder="1" applyAlignment="1">
      <alignment/>
    </xf>
    <xf numFmtId="0" fontId="81" fillId="34" borderId="10" xfId="0" applyFont="1" applyFill="1" applyBorder="1" applyAlignment="1">
      <alignment horizontal="center"/>
    </xf>
    <xf numFmtId="38" fontId="2" fillId="14" borderId="10" xfId="64" applyNumberFormat="1" applyFont="1" applyFill="1" applyBorder="1" applyAlignment="1">
      <alignment/>
    </xf>
    <xf numFmtId="0" fontId="2" fillId="2" borderId="10" xfId="0" applyFont="1" applyFill="1" applyBorder="1" applyAlignment="1">
      <alignment/>
    </xf>
    <xf numFmtId="38" fontId="2" fillId="2" borderId="10" xfId="64" applyNumberFormat="1" applyFont="1" applyFill="1" applyBorder="1" applyAlignment="1">
      <alignment/>
    </xf>
    <xf numFmtId="38" fontId="3" fillId="0" borderId="10" xfId="64" applyNumberFormat="1" applyFont="1" applyFill="1" applyBorder="1" applyAlignment="1">
      <alignment/>
    </xf>
    <xf numFmtId="38" fontId="8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14" borderId="10" xfId="52" applyNumberFormat="1" applyFont="1" applyFill="1" applyBorder="1" applyAlignment="1">
      <alignment/>
    </xf>
    <xf numFmtId="10" fontId="2" fillId="14" borderId="10" xfId="52" applyNumberFormat="1" applyFont="1" applyFill="1" applyBorder="1" applyAlignment="1">
      <alignment/>
    </xf>
    <xf numFmtId="38" fontId="80" fillId="0" borderId="10" xfId="0" applyNumberFormat="1" applyFont="1" applyBorder="1" applyAlignment="1">
      <alignment horizontal="right"/>
    </xf>
    <xf numFmtId="38" fontId="3" fillId="0" borderId="10" xfId="64" applyNumberFormat="1" applyFont="1" applyFill="1" applyBorder="1" applyAlignment="1">
      <alignment horizontal="right"/>
    </xf>
    <xf numFmtId="38" fontId="2" fillId="0" borderId="10" xfId="64" applyNumberFormat="1" applyFont="1" applyFill="1" applyBorder="1" applyAlignment="1">
      <alignment horizontal="right"/>
    </xf>
    <xf numFmtId="0" fontId="83" fillId="0" borderId="0" xfId="64" applyNumberFormat="1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Fill="1" applyAlignment="1">
      <alignment/>
    </xf>
    <xf numFmtId="0" fontId="86" fillId="0" borderId="0" xfId="0" applyFont="1" applyAlignment="1">
      <alignment/>
    </xf>
    <xf numFmtId="0" fontId="87" fillId="0" borderId="0" xfId="0" applyFont="1" applyFill="1" applyAlignment="1">
      <alignment/>
    </xf>
    <xf numFmtId="0" fontId="0" fillId="33" borderId="0" xfId="0" applyFill="1" applyAlignment="1">
      <alignment/>
    </xf>
    <xf numFmtId="0" fontId="77" fillId="33" borderId="0" xfId="0" applyFont="1" applyFill="1" applyAlignment="1">
      <alignment/>
    </xf>
    <xf numFmtId="0" fontId="2" fillId="0" borderId="0" xfId="0" applyFont="1" applyAlignment="1">
      <alignment wrapText="1"/>
    </xf>
    <xf numFmtId="0" fontId="86" fillId="0" borderId="0" xfId="0" applyFont="1" applyAlignment="1">
      <alignment/>
    </xf>
    <xf numFmtId="0" fontId="60" fillId="0" borderId="0" xfId="0" applyFont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38" fontId="0" fillId="0" borderId="0" xfId="0" applyNumberFormat="1" applyAlignment="1">
      <alignment horizontal="right"/>
    </xf>
    <xf numFmtId="38" fontId="42" fillId="0" borderId="0" xfId="0" applyNumberFormat="1" applyFont="1" applyAlignment="1">
      <alignment horizontal="right"/>
    </xf>
    <xf numFmtId="0" fontId="60" fillId="33" borderId="0" xfId="0" applyFont="1" applyFill="1" applyAlignment="1">
      <alignment/>
    </xf>
    <xf numFmtId="0" fontId="88" fillId="0" borderId="0" xfId="0" applyFont="1" applyAlignment="1">
      <alignment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60" fillId="0" borderId="0" xfId="0" applyFont="1" applyFill="1" applyAlignment="1">
      <alignment/>
    </xf>
    <xf numFmtId="38" fontId="0" fillId="0" borderId="0" xfId="0" applyNumberFormat="1" applyFill="1" applyAlignment="1">
      <alignment/>
    </xf>
    <xf numFmtId="0" fontId="60" fillId="0" borderId="0" xfId="0" applyFont="1" applyFill="1" applyAlignment="1">
      <alignment horizontal="center"/>
    </xf>
    <xf numFmtId="38" fontId="60" fillId="0" borderId="0" xfId="0" applyNumberFormat="1" applyFont="1" applyFill="1" applyAlignment="1">
      <alignment/>
    </xf>
    <xf numFmtId="0" fontId="84" fillId="0" borderId="0" xfId="0" applyFont="1" applyFill="1" applyAlignment="1">
      <alignment/>
    </xf>
    <xf numFmtId="40" fontId="0" fillId="0" borderId="0" xfId="0" applyNumberFormat="1" applyFill="1" applyAlignment="1">
      <alignment/>
    </xf>
    <xf numFmtId="0" fontId="71" fillId="0" borderId="0" xfId="0" applyFont="1" applyFill="1" applyAlignment="1">
      <alignment/>
    </xf>
    <xf numFmtId="171" fontId="0" fillId="0" borderId="0" xfId="64" applyFont="1" applyFill="1" applyAlignment="1">
      <alignment horizontal="center"/>
    </xf>
    <xf numFmtId="204" fontId="0" fillId="0" borderId="0" xfId="0" applyNumberFormat="1" applyAlignment="1">
      <alignment/>
    </xf>
    <xf numFmtId="205" fontId="0" fillId="0" borderId="0" xfId="0" applyNumberFormat="1" applyAlignment="1">
      <alignment/>
    </xf>
    <xf numFmtId="171" fontId="44" fillId="33" borderId="0" xfId="64" applyFont="1" applyFill="1" applyAlignment="1">
      <alignment/>
    </xf>
    <xf numFmtId="0" fontId="42" fillId="33" borderId="0" xfId="0" applyFont="1" applyFill="1" applyAlignment="1">
      <alignment/>
    </xf>
    <xf numFmtId="171" fontId="86" fillId="33" borderId="0" xfId="64" applyFont="1" applyFill="1" applyAlignment="1">
      <alignment/>
    </xf>
    <xf numFmtId="43" fontId="0" fillId="33" borderId="0" xfId="0" applyNumberFormat="1" applyFill="1" applyAlignment="1">
      <alignment/>
    </xf>
    <xf numFmtId="171" fontId="0" fillId="0" borderId="0" xfId="64" applyFont="1" applyFill="1" applyAlignment="1">
      <alignment/>
    </xf>
    <xf numFmtId="38" fontId="42" fillId="0" borderId="0" xfId="0" applyNumberFormat="1" applyFont="1" applyFill="1" applyAlignment="1">
      <alignment/>
    </xf>
    <xf numFmtId="38" fontId="71" fillId="0" borderId="0" xfId="0" applyNumberFormat="1" applyFont="1" applyFill="1" applyAlignment="1">
      <alignment/>
    </xf>
    <xf numFmtId="38" fontId="77" fillId="0" borderId="0" xfId="0" applyNumberFormat="1" applyFont="1" applyFill="1" applyAlignment="1">
      <alignment/>
    </xf>
    <xf numFmtId="40" fontId="60" fillId="0" borderId="0" xfId="0" applyNumberFormat="1" applyFont="1" applyFill="1" applyAlignment="1">
      <alignment/>
    </xf>
    <xf numFmtId="40" fontId="42" fillId="0" borderId="0" xfId="0" applyNumberFormat="1" applyFont="1" applyFill="1" applyAlignment="1">
      <alignment/>
    </xf>
    <xf numFmtId="171" fontId="79" fillId="0" borderId="0" xfId="64" applyFont="1" applyFill="1" applyAlignment="1">
      <alignment/>
    </xf>
    <xf numFmtId="4" fontId="89" fillId="0" borderId="0" xfId="0" applyNumberFormat="1" applyFont="1" applyFill="1" applyAlignment="1">
      <alignment/>
    </xf>
    <xf numFmtId="0" fontId="90" fillId="0" borderId="0" xfId="0" applyFont="1" applyFill="1" applyAlignment="1">
      <alignment/>
    </xf>
    <xf numFmtId="171" fontId="86" fillId="0" borderId="0" xfId="64" applyFont="1" applyAlignment="1">
      <alignment/>
    </xf>
    <xf numFmtId="38" fontId="77" fillId="0" borderId="0" xfId="0" applyNumberFormat="1" applyFont="1" applyAlignment="1">
      <alignment/>
    </xf>
    <xf numFmtId="209" fontId="0" fillId="0" borderId="0" xfId="0" applyNumberFormat="1" applyFill="1" applyAlignment="1">
      <alignment/>
    </xf>
    <xf numFmtId="40" fontId="82" fillId="0" borderId="0" xfId="0" applyNumberFormat="1" applyFont="1" applyFill="1" applyAlignment="1">
      <alignment/>
    </xf>
    <xf numFmtId="40" fontId="91" fillId="0" borderId="0" xfId="0" applyNumberFormat="1" applyFont="1" applyFill="1" applyAlignment="1">
      <alignment/>
    </xf>
    <xf numFmtId="38" fontId="60" fillId="33" borderId="0" xfId="0" applyNumberFormat="1" applyFont="1" applyFill="1" applyAlignment="1">
      <alignment/>
    </xf>
    <xf numFmtId="171" fontId="60" fillId="33" borderId="0" xfId="64" applyFont="1" applyFill="1" applyAlignment="1">
      <alignment/>
    </xf>
    <xf numFmtId="216" fontId="0" fillId="0" borderId="0" xfId="0" applyNumberFormat="1" applyFill="1" applyAlignment="1">
      <alignment/>
    </xf>
    <xf numFmtId="214" fontId="60" fillId="0" borderId="0" xfId="0" applyNumberFormat="1" applyFont="1" applyFill="1" applyAlignment="1">
      <alignment/>
    </xf>
    <xf numFmtId="213" fontId="60" fillId="0" borderId="0" xfId="0" applyNumberFormat="1" applyFont="1" applyFill="1" applyAlignment="1">
      <alignment/>
    </xf>
    <xf numFmtId="3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80" fillId="0" borderId="10" xfId="0" applyFont="1" applyBorder="1" applyAlignment="1">
      <alignment/>
    </xf>
    <xf numFmtId="38" fontId="80" fillId="0" borderId="10" xfId="0" applyNumberFormat="1" applyFont="1" applyBorder="1" applyAlignment="1">
      <alignment/>
    </xf>
    <xf numFmtId="40" fontId="2" fillId="0" borderId="0" xfId="64" applyNumberFormat="1" applyFont="1" applyFill="1" applyBorder="1" applyAlignment="1">
      <alignment/>
    </xf>
    <xf numFmtId="215" fontId="0" fillId="0" borderId="0" xfId="0" applyNumberFormat="1" applyAlignment="1">
      <alignment/>
    </xf>
    <xf numFmtId="0" fontId="92" fillId="0" borderId="0" xfId="0" applyFont="1" applyAlignment="1">
      <alignment/>
    </xf>
    <xf numFmtId="0" fontId="71" fillId="0" borderId="0" xfId="0" applyFont="1" applyAlignment="1">
      <alignment/>
    </xf>
    <xf numFmtId="43" fontId="0" fillId="0" borderId="0" xfId="0" applyNumberFormat="1" applyAlignment="1">
      <alignment/>
    </xf>
    <xf numFmtId="171" fontId="60" fillId="0" borderId="0" xfId="64" applyFont="1" applyFill="1" applyAlignment="1">
      <alignment/>
    </xf>
    <xf numFmtId="171" fontId="0" fillId="0" borderId="0" xfId="64" applyFont="1" applyAlignment="1">
      <alignment/>
    </xf>
    <xf numFmtId="0" fontId="93" fillId="34" borderId="0" xfId="0" applyFont="1" applyFill="1" applyBorder="1" applyAlignment="1">
      <alignment horizontal="center"/>
    </xf>
    <xf numFmtId="171" fontId="0" fillId="0" borderId="10" xfId="64" applyFont="1" applyBorder="1" applyAlignment="1">
      <alignment/>
    </xf>
    <xf numFmtId="0" fontId="94" fillId="0" borderId="0" xfId="0" applyFont="1" applyFill="1" applyAlignment="1">
      <alignment/>
    </xf>
    <xf numFmtId="38" fontId="60" fillId="0" borderId="0" xfId="0" applyNumberFormat="1" applyFont="1" applyAlignment="1">
      <alignment/>
    </xf>
    <xf numFmtId="0" fontId="95" fillId="0" borderId="0" xfId="0" applyFont="1" applyFill="1" applyAlignment="1">
      <alignment/>
    </xf>
    <xf numFmtId="38" fontId="95" fillId="0" borderId="0" xfId="0" applyNumberFormat="1" applyFont="1" applyFill="1" applyAlignment="1">
      <alignment/>
    </xf>
    <xf numFmtId="10" fontId="95" fillId="0" borderId="0" xfId="52" applyNumberFormat="1" applyFont="1" applyFill="1" applyAlignment="1">
      <alignment/>
    </xf>
    <xf numFmtId="38" fontId="95" fillId="0" borderId="0" xfId="0" applyNumberFormat="1" applyFont="1" applyFill="1" applyBorder="1" applyAlignment="1">
      <alignment/>
    </xf>
    <xf numFmtId="171" fontId="71" fillId="0" borderId="0" xfId="64" applyFont="1" applyFill="1" applyAlignment="1">
      <alignment/>
    </xf>
    <xf numFmtId="0" fontId="0" fillId="0" borderId="0" xfId="0" applyAlignment="1">
      <alignment horizontal="right"/>
    </xf>
    <xf numFmtId="171" fontId="96" fillId="0" borderId="0" xfId="64" applyFont="1" applyFill="1" applyAlignment="1">
      <alignment/>
    </xf>
    <xf numFmtId="0" fontId="81" fillId="34" borderId="10" xfId="49" applyFont="1" applyFill="1" applyBorder="1" applyAlignment="1">
      <alignment horizontal="left" indent="2"/>
      <protection/>
    </xf>
    <xf numFmtId="38" fontId="81" fillId="34" borderId="10" xfId="64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38" fontId="2" fillId="35" borderId="10" xfId="64" applyNumberFormat="1" applyFont="1" applyFill="1" applyBorder="1" applyAlignment="1">
      <alignment/>
    </xf>
    <xf numFmtId="0" fontId="0" fillId="0" borderId="0" xfId="0" applyAlignment="1">
      <alignment wrapText="1"/>
    </xf>
    <xf numFmtId="4" fontId="71" fillId="0" borderId="11" xfId="0" applyNumberFormat="1" applyFont="1" applyBorder="1" applyAlignment="1">
      <alignment/>
    </xf>
    <xf numFmtId="171" fontId="0" fillId="0" borderId="0" xfId="64" applyFont="1" applyAlignment="1">
      <alignment/>
    </xf>
    <xf numFmtId="192" fontId="71" fillId="0" borderId="0" xfId="64" applyNumberFormat="1" applyFont="1" applyFill="1" applyAlignment="1">
      <alignment/>
    </xf>
    <xf numFmtId="0" fontId="71" fillId="0" borderId="0" xfId="0" applyFont="1" applyAlignment="1">
      <alignment horizontal="right"/>
    </xf>
    <xf numFmtId="38" fontId="71" fillId="0" borderId="0" xfId="0" applyNumberFormat="1" applyFont="1" applyAlignment="1">
      <alignment/>
    </xf>
    <xf numFmtId="171" fontId="71" fillId="0" borderId="0" xfId="64" applyFont="1" applyAlignment="1">
      <alignment/>
    </xf>
    <xf numFmtId="171" fontId="97" fillId="33" borderId="0" xfId="64" applyFont="1" applyFill="1" applyAlignment="1">
      <alignment/>
    </xf>
    <xf numFmtId="171" fontId="71" fillId="33" borderId="0" xfId="64" applyFont="1" applyFill="1" applyAlignment="1">
      <alignment/>
    </xf>
    <xf numFmtId="192" fontId="71" fillId="0" borderId="0" xfId="64" applyNumberFormat="1" applyFont="1" applyAlignment="1">
      <alignment/>
    </xf>
    <xf numFmtId="3" fontId="60" fillId="0" borderId="0" xfId="0" applyNumberFormat="1" applyFont="1" applyFill="1" applyAlignment="1">
      <alignment/>
    </xf>
    <xf numFmtId="0" fontId="60" fillId="0" borderId="0" xfId="0" applyFont="1" applyFill="1" applyBorder="1" applyAlignment="1">
      <alignment/>
    </xf>
    <xf numFmtId="49" fontId="60" fillId="0" borderId="0" xfId="0" applyNumberFormat="1" applyFont="1" applyFill="1" applyAlignment="1">
      <alignment/>
    </xf>
    <xf numFmtId="171" fontId="71" fillId="0" borderId="0" xfId="0" applyNumberFormat="1" applyFont="1" applyFill="1" applyAlignment="1">
      <alignment/>
    </xf>
    <xf numFmtId="171" fontId="77" fillId="0" borderId="0" xfId="64" applyFont="1" applyAlignment="1">
      <alignment/>
    </xf>
    <xf numFmtId="0" fontId="98" fillId="0" borderId="0" xfId="0" applyFont="1" applyFill="1" applyAlignment="1">
      <alignment/>
    </xf>
    <xf numFmtId="4" fontId="99" fillId="0" borderId="0" xfId="0" applyNumberFormat="1" applyFont="1" applyFill="1" applyAlignment="1">
      <alignment/>
    </xf>
    <xf numFmtId="171" fontId="60" fillId="0" borderId="0" xfId="64" applyFont="1" applyAlignment="1">
      <alignment/>
    </xf>
    <xf numFmtId="38" fontId="100" fillId="0" borderId="0" xfId="0" applyNumberFormat="1" applyFont="1" applyFill="1" applyAlignment="1">
      <alignment/>
    </xf>
    <xf numFmtId="171" fontId="60" fillId="0" borderId="12" xfId="64" applyFont="1" applyFill="1" applyBorder="1" applyAlignment="1">
      <alignment horizontal="center"/>
    </xf>
    <xf numFmtId="0" fontId="93" fillId="34" borderId="13" xfId="0" applyFont="1" applyFill="1" applyBorder="1" applyAlignment="1">
      <alignment/>
    </xf>
    <xf numFmtId="0" fontId="93" fillId="34" borderId="14" xfId="0" applyFont="1" applyFill="1" applyBorder="1" applyAlignment="1">
      <alignment/>
    </xf>
    <xf numFmtId="0" fontId="93" fillId="34" borderId="0" xfId="0" applyFont="1" applyFill="1" applyAlignment="1">
      <alignment horizontal="center"/>
    </xf>
    <xf numFmtId="0" fontId="2" fillId="0" borderId="10" xfId="49" applyFont="1" applyBorder="1" applyAlignment="1">
      <alignment horizontal="left" indent="2"/>
      <protection/>
    </xf>
    <xf numFmtId="49" fontId="60" fillId="0" borderId="0" xfId="0" applyNumberFormat="1" applyFont="1" applyAlignment="1">
      <alignment/>
    </xf>
    <xf numFmtId="49" fontId="71" fillId="0" borderId="0" xfId="0" applyNumberFormat="1" applyFont="1" applyAlignment="1">
      <alignment/>
    </xf>
    <xf numFmtId="4" fontId="99" fillId="0" borderId="0" xfId="0" applyNumberFormat="1" applyFont="1" applyAlignment="1">
      <alignment/>
    </xf>
    <xf numFmtId="38" fontId="56" fillId="0" borderId="0" xfId="0" applyNumberFormat="1" applyFont="1" applyAlignment="1">
      <alignment/>
    </xf>
    <xf numFmtId="40" fontId="82" fillId="0" borderId="0" xfId="0" applyNumberFormat="1" applyFont="1" applyAlignment="1">
      <alignment/>
    </xf>
    <xf numFmtId="214" fontId="60" fillId="0" borderId="0" xfId="0" applyNumberFormat="1" applyFont="1" applyAlignment="1">
      <alignment/>
    </xf>
    <xf numFmtId="213" fontId="60" fillId="0" borderId="0" xfId="0" applyNumberFormat="1" applyFont="1" applyAlignment="1">
      <alignment/>
    </xf>
    <xf numFmtId="40" fontId="42" fillId="0" borderId="0" xfId="0" applyNumberFormat="1" applyFont="1" applyAlignment="1">
      <alignment/>
    </xf>
    <xf numFmtId="38" fontId="42" fillId="0" borderId="0" xfId="0" applyNumberFormat="1" applyFont="1" applyAlignment="1">
      <alignment/>
    </xf>
    <xf numFmtId="216" fontId="71" fillId="0" borderId="0" xfId="0" applyNumberFormat="1" applyFont="1" applyAlignment="1">
      <alignment/>
    </xf>
    <xf numFmtId="0" fontId="78" fillId="0" borderId="0" xfId="0" applyFont="1" applyFill="1" applyAlignment="1">
      <alignment/>
    </xf>
    <xf numFmtId="49" fontId="101" fillId="34" borderId="10" xfId="64" applyNumberFormat="1" applyFont="1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2" fillId="34" borderId="13" xfId="0" applyFont="1" applyFill="1" applyBorder="1" applyAlignment="1">
      <alignment horizontal="center"/>
    </xf>
    <xf numFmtId="0" fontId="102" fillId="34" borderId="14" xfId="0" applyFont="1" applyFill="1" applyBorder="1" applyAlignment="1">
      <alignment horizontal="center"/>
    </xf>
    <xf numFmtId="49" fontId="101" fillId="34" borderId="15" xfId="64" applyNumberFormat="1" applyFont="1" applyFill="1" applyBorder="1" applyAlignment="1">
      <alignment horizontal="center" vertical="center"/>
    </xf>
    <xf numFmtId="49" fontId="101" fillId="34" borderId="16" xfId="64" applyNumberFormat="1" applyFont="1" applyFill="1" applyBorder="1" applyAlignment="1">
      <alignment horizontal="center" vertical="center"/>
    </xf>
    <xf numFmtId="49" fontId="101" fillId="34" borderId="17" xfId="64" applyNumberFormat="1" applyFont="1" applyFill="1" applyBorder="1" applyAlignment="1">
      <alignment horizontal="center" vertical="center"/>
    </xf>
    <xf numFmtId="0" fontId="93" fillId="34" borderId="13" xfId="0" applyFont="1" applyFill="1" applyBorder="1" applyAlignment="1">
      <alignment horizontal="center"/>
    </xf>
    <xf numFmtId="0" fontId="93" fillId="34" borderId="14" xfId="0" applyFont="1" applyFill="1" applyBorder="1" applyAlignment="1">
      <alignment horizontal="center"/>
    </xf>
    <xf numFmtId="2" fontId="101" fillId="34" borderId="10" xfId="64" applyNumberFormat="1" applyFont="1" applyFill="1" applyBorder="1" applyAlignment="1">
      <alignment horizontal="center" vertical="center"/>
    </xf>
    <xf numFmtId="1" fontId="101" fillId="34" borderId="10" xfId="64" applyNumberFormat="1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3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  <cellStyle name="Vírgula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Evolução Dívida Financeira</a:t>
            </a:r>
          </a:p>
        </c:rich>
      </c:tx>
      <c:layout>
        <c:manualLayout>
          <c:xMode val="factor"/>
          <c:yMode val="factor"/>
          <c:x val="-0.000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20975"/>
          <c:w val="0.933"/>
          <c:h val="0.6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'Serviço_DF anual'!$BI$123</c:f>
              <c:strCache>
                <c:ptCount val="1"/>
                <c:pt idx="0">
                  <c:v>Dívida Financeira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'Serviço_DF anual'!$BJ$122:$CA$122</c:f>
              <c:numCache/>
            </c:numRef>
          </c:cat>
          <c:val>
            <c:numRef>
              <c:f>'Serviço_DF anual'!$BJ$123:$CA$123</c:f>
              <c:numCache/>
            </c:numRef>
          </c:val>
        </c:ser>
        <c:overlap val="-25"/>
        <c:gapWidth val="75"/>
        <c:axId val="25102680"/>
        <c:axId val="24597529"/>
      </c:barChart>
      <c:catAx>
        <c:axId val="25102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97529"/>
        <c:crosses val="autoZero"/>
        <c:auto val="1"/>
        <c:lblOffset val="100"/>
        <c:tickLblSkip val="1"/>
        <c:noMultiLvlLbl val="0"/>
      </c:catAx>
      <c:valAx>
        <c:axId val="245975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102680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105"/>
                <c:y val="0.031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7625"/>
          <c:y val="0.91325"/>
          <c:w val="0.1837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Perfil da Dívida Financeira - 2023</a:t>
            </a:r>
          </a:p>
        </c:rich>
      </c:tx>
      <c:layout>
        <c:manualLayout>
          <c:xMode val="factor"/>
          <c:yMode val="factor"/>
          <c:x val="-0.003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8"/>
          <c:y val="0.1415"/>
          <c:w val="0.6375"/>
          <c:h val="0.77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'Serviço_DF anual'!$A$130:$A$131</c:f>
              <c:strCache/>
            </c:strRef>
          </c:cat>
          <c:val>
            <c:numRef>
              <c:f>'Serviço_DF anual'!$AL$130:$AL$131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"/>
          <c:y val="0.25775"/>
          <c:w val="0.236"/>
          <c:h val="0.3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Perfil da Dívida Financeira - 2023</a:t>
            </a:r>
          </a:p>
        </c:rich>
      </c:tx>
      <c:layout>
        <c:manualLayout>
          <c:xMode val="factor"/>
          <c:yMode val="factor"/>
          <c:x val="-0.00275"/>
          <c:y val="-0.0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1695"/>
          <c:w val="0.7115"/>
          <c:h val="0.80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'Serviço_DF anual'!$A$133:$A$134</c:f>
              <c:strCache/>
            </c:strRef>
          </c:cat>
          <c:val>
            <c:numRef>
              <c:f>'Serviço_DF anual'!$AL$133:$AL$134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75"/>
          <c:y val="0.382"/>
          <c:w val="0.16975"/>
          <c:h val="0.2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Perfil da Dívida Financeira até Mar/24</a:t>
            </a:r>
          </a:p>
        </c:rich>
      </c:tx>
      <c:layout>
        <c:manualLayout>
          <c:xMode val="factor"/>
          <c:yMode val="factor"/>
          <c:x val="0.019"/>
          <c:y val="-0.015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675"/>
          <c:y val="0.1955"/>
          <c:w val="0.63575"/>
          <c:h val="0.76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'Serviço_DF mensal '!$A$113:$A$114</c:f>
              <c:strCache/>
            </c:strRef>
          </c:cat>
          <c:val>
            <c:numRef>
              <c:f>'Serviço_DF mensal '!$B$113:$B$114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15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'Serviço_DF mensal '!$A$118:$A$119</c:f>
              <c:strCache/>
            </c:strRef>
          </c:cat>
          <c:val>
            <c:numRef>
              <c:f>'Serviço_DF mensal '!$B$118:$B$119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5"/>
          <c:y val="0.5475"/>
          <c:w val="0.24725"/>
          <c:h val="0.2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Perfil da Dívida Financeira até Mar/24</a:t>
            </a:r>
          </a:p>
        </c:rich>
      </c:tx>
      <c:layout>
        <c:manualLayout>
          <c:xMode val="factor"/>
          <c:yMode val="factor"/>
          <c:x val="-0.00625"/>
          <c:y val="0.02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7075"/>
          <c:w val="0.631"/>
          <c:h val="0.7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'Serviço_DF mensal '!$A$118:$A$119</c:f>
              <c:strCache/>
            </c:strRef>
          </c:cat>
          <c:val>
            <c:numRef>
              <c:f>'Serviço_DF mensal '!$B$118:$B$119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'Serviço_DF mensal '!$A$113:$A$114</c:f>
              <c:strCache/>
            </c:strRef>
          </c:cat>
          <c:val>
            <c:numRef>
              <c:f>'Serviço_DF mensal '!$B$113:$B$114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75"/>
          <c:y val="0.5635"/>
          <c:w val="0.163"/>
          <c:h val="0.2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Evolução da Dívida Fundada Total</a:t>
            </a:r>
          </a:p>
        </c:rich>
      </c:tx>
      <c:layout>
        <c:manualLayout>
          <c:xMode val="factor"/>
          <c:yMode val="factor"/>
          <c:x val="-0.111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13025"/>
          <c:w val="0.896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'Serviço_DF mensal '!$A$80:$C$80</c:f>
              <c:strCache/>
            </c:strRef>
          </c:cat>
          <c:val>
            <c:numRef>
              <c:f>'Serviço_DF mensal '!$A$81:$C$81</c:f>
              <c:numCache/>
            </c:numRef>
          </c:val>
        </c:ser>
        <c:axId val="20051170"/>
        <c:axId val="46242803"/>
      </c:barChart>
      <c:catAx>
        <c:axId val="20051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42803"/>
        <c:crosses val="autoZero"/>
        <c:auto val="1"/>
        <c:lblOffset val="100"/>
        <c:tickLblSkip val="1"/>
        <c:noMultiLvlLbl val="0"/>
      </c:catAx>
      <c:valAx>
        <c:axId val="4624280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51170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3075"/>
                <c:y val="0.075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685800</xdr:colOff>
      <xdr:row>97</xdr:row>
      <xdr:rowOff>47625</xdr:rowOff>
    </xdr:from>
    <xdr:to>
      <xdr:col>91</xdr:col>
      <xdr:colOff>9525</xdr:colOff>
      <xdr:row>125</xdr:row>
      <xdr:rowOff>200025</xdr:rowOff>
    </xdr:to>
    <xdr:graphicFrame>
      <xdr:nvGraphicFramePr>
        <xdr:cNvPr id="1" name="Gráfico 5"/>
        <xdr:cNvGraphicFramePr/>
      </xdr:nvGraphicFramePr>
      <xdr:xfrm>
        <a:off x="69951600" y="18249900"/>
        <a:ext cx="182118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75</xdr:col>
      <xdr:colOff>847725</xdr:colOff>
      <xdr:row>126</xdr:row>
      <xdr:rowOff>104775</xdr:rowOff>
    </xdr:from>
    <xdr:to>
      <xdr:col>83</xdr:col>
      <xdr:colOff>400050</xdr:colOff>
      <xdr:row>141</xdr:row>
      <xdr:rowOff>104775</xdr:rowOff>
    </xdr:to>
    <xdr:graphicFrame>
      <xdr:nvGraphicFramePr>
        <xdr:cNvPr id="2" name="Gráfico 7"/>
        <xdr:cNvGraphicFramePr/>
      </xdr:nvGraphicFramePr>
      <xdr:xfrm>
        <a:off x="74114025" y="21983700"/>
        <a:ext cx="65532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83</xdr:col>
      <xdr:colOff>666750</xdr:colOff>
      <xdr:row>126</xdr:row>
      <xdr:rowOff>47625</xdr:rowOff>
    </xdr:from>
    <xdr:to>
      <xdr:col>91</xdr:col>
      <xdr:colOff>123825</xdr:colOff>
      <xdr:row>141</xdr:row>
      <xdr:rowOff>142875</xdr:rowOff>
    </xdr:to>
    <xdr:graphicFrame>
      <xdr:nvGraphicFramePr>
        <xdr:cNvPr id="3" name="Gráfico 8"/>
        <xdr:cNvGraphicFramePr/>
      </xdr:nvGraphicFramePr>
      <xdr:xfrm>
        <a:off x="80933925" y="21926550"/>
        <a:ext cx="7343775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2</xdr:row>
      <xdr:rowOff>247650</xdr:rowOff>
    </xdr:from>
    <xdr:to>
      <xdr:col>0</xdr:col>
      <xdr:colOff>2981325</xdr:colOff>
      <xdr:row>5</xdr:row>
      <xdr:rowOff>19050</xdr:rowOff>
    </xdr:to>
    <xdr:sp>
      <xdr:nvSpPr>
        <xdr:cNvPr id="4" name="CaixaDeTexto 6"/>
        <xdr:cNvSpPr txBox="1">
          <a:spLocks noChangeArrowheads="1"/>
        </xdr:cNvSpPr>
      </xdr:nvSpPr>
      <xdr:spPr>
        <a:xfrm>
          <a:off x="1028700" y="628650"/>
          <a:ext cx="19526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Fazenda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Subsecretaria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Tesouro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95250</xdr:rowOff>
    </xdr:from>
    <xdr:to>
      <xdr:col>0</xdr:col>
      <xdr:colOff>1019175</xdr:colOff>
      <xdr:row>5</xdr:row>
      <xdr:rowOff>28575</xdr:rowOff>
    </xdr:to>
    <xdr:pic>
      <xdr:nvPicPr>
        <xdr:cNvPr id="5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95250"/>
          <a:ext cx="933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90</xdr:row>
      <xdr:rowOff>85725</xdr:rowOff>
    </xdr:from>
    <xdr:to>
      <xdr:col>3</xdr:col>
      <xdr:colOff>838200</xdr:colOff>
      <xdr:row>106</xdr:row>
      <xdr:rowOff>133350</xdr:rowOff>
    </xdr:to>
    <xdr:graphicFrame>
      <xdr:nvGraphicFramePr>
        <xdr:cNvPr id="1" name="Gráfico 4"/>
        <xdr:cNvGraphicFramePr/>
      </xdr:nvGraphicFramePr>
      <xdr:xfrm>
        <a:off x="66675" y="16097250"/>
        <a:ext cx="61436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75</xdr:row>
      <xdr:rowOff>66675</xdr:rowOff>
    </xdr:from>
    <xdr:to>
      <xdr:col>3</xdr:col>
      <xdr:colOff>771525</xdr:colOff>
      <xdr:row>89</xdr:row>
      <xdr:rowOff>104775</xdr:rowOff>
    </xdr:to>
    <xdr:graphicFrame>
      <xdr:nvGraphicFramePr>
        <xdr:cNvPr id="2" name="Gráfico 5"/>
        <xdr:cNvGraphicFramePr/>
      </xdr:nvGraphicFramePr>
      <xdr:xfrm>
        <a:off x="28575" y="13077825"/>
        <a:ext cx="61150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1066800</xdr:colOff>
      <xdr:row>2</xdr:row>
      <xdr:rowOff>133350</xdr:rowOff>
    </xdr:from>
    <xdr:to>
      <xdr:col>1</xdr:col>
      <xdr:colOff>219075</xdr:colOff>
      <xdr:row>4</xdr:row>
      <xdr:rowOff>95250</xdr:rowOff>
    </xdr:to>
    <xdr:sp>
      <xdr:nvSpPr>
        <xdr:cNvPr id="3" name="CaixaDeTexto 4"/>
        <xdr:cNvSpPr txBox="1">
          <a:spLocks noChangeArrowheads="1"/>
        </xdr:cNvSpPr>
      </xdr:nvSpPr>
      <xdr:spPr>
        <a:xfrm>
          <a:off x="1066800" y="514350"/>
          <a:ext cx="22002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Fazenda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Subsecretaria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Tesouro</a:t>
          </a:r>
        </a:p>
      </xdr:txBody>
    </xdr:sp>
    <xdr:clientData/>
  </xdr:twoCellAnchor>
  <xdr:twoCellAnchor>
    <xdr:from>
      <xdr:col>3</xdr:col>
      <xdr:colOff>819150</xdr:colOff>
      <xdr:row>75</xdr:row>
      <xdr:rowOff>95250</xdr:rowOff>
    </xdr:from>
    <xdr:to>
      <xdr:col>42</xdr:col>
      <xdr:colOff>1085850</xdr:colOff>
      <xdr:row>89</xdr:row>
      <xdr:rowOff>142875</xdr:rowOff>
    </xdr:to>
    <xdr:graphicFrame>
      <xdr:nvGraphicFramePr>
        <xdr:cNvPr id="4" name="Gráfico 2"/>
        <xdr:cNvGraphicFramePr/>
      </xdr:nvGraphicFramePr>
      <xdr:xfrm>
        <a:off x="6191250" y="13106400"/>
        <a:ext cx="123539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28575</xdr:rowOff>
    </xdr:from>
    <xdr:to>
      <xdr:col>0</xdr:col>
      <xdr:colOff>1057275</xdr:colOff>
      <xdr:row>4</xdr:row>
      <xdr:rowOff>28575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28575"/>
          <a:ext cx="990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2</xdr:row>
      <xdr:rowOff>28575</xdr:rowOff>
    </xdr:from>
    <xdr:to>
      <xdr:col>0</xdr:col>
      <xdr:colOff>3619500</xdr:colOff>
      <xdr:row>4</xdr:row>
      <xdr:rowOff>9525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942975" y="409575"/>
          <a:ext cx="26765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Fazenda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Subsecretaria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 Tesouro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866775</xdr:colOff>
      <xdr:row>4</xdr:row>
      <xdr:rowOff>19050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rgio1R\despesa\2006\DIVREL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0%20SUBFIN\SUCADPCR\COADE\AGOSTO_2016\SERVI&#199;OSOCAGO2016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0%20SUBFIN\SUCADPCR\COADE\Cronogramamas%20&amp;%20Limites\LIMITES%20&amp;%20CRONOS%202016\2&#186;%20QUADRIMESTRE%202016\SERVI&#199;OSOCAGO2016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0%20SUBFIN\SUCADPCR\COADE\GEST&#195;O_DA_DIVIDA\AGO%202019\SERVI&#199;OSOCAGO2019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SEFAZ\Tempor&#225;rios\SERVI&#199;O%20PROJ%20OUT19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efazrj.sharepoint.com/sites/SUBTES/Shared%20Documents/SUPCODP/SUCADPCR/COADE/OR&#199;AMENTO/or&#231;am2024/Pagamentos%202024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efazrj.sharepoint.com/sites/SUBTES/Shared%20Documents/SUPCODP/SUCADPCR/COADE/ADM%20INDIRETA/2024/STN%20PORTARIA89%20JANEIRO_2024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efazrj.sharepoint.com/sites/SUBTES/Shared%20Documents/SUPCODP/SUCADPCR/COADE/PROJETADO/PROJETADO-FEV2024+30%\SERVI&#199;OSOC_PROJ-PRF2024-FEV-30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efazrj.sharepoint.com/sites/SUBTES/Shared%20Documents/SUPCODP/SUCADPCR/COADE/ADM%20INDIRETA/2024/STN%20PORTARIA89%20FEVEREIRO_2024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efazrj.sharepoint.com/sites/SUBTES/Shared%20Documents/SUPCODP/SUCADPCR/COADE/ADM%20INDIRETA/2024/STN%20PORTARIA89%20MAR&#199;O_2024%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rgio1R\despesa\2007\DIVREL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0%20SUBFIN\SUCADPCR\COADE\BOLETIM\BOLETIM%206&#186;%20bim%202009\DIVIDA%20PAG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0%20SUBFIN\SUCADPCR\COADE\DEZEMBRO_2009\SERVI&#199;O_DIVIDA(-)FECP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rgio1R\despesa\2008\SERVI&#199;O_DIRETA_2000_20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rgio1R\simula&#231;&#245;es\S&#201;RIES_SERVI&#199;O\SERVI&#199;O_INDIRETA_2000%20A%20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0%20SUBFIN\SUCADPCR\COADE\Cronogramamas%20&amp;%20Limites\ADMINDIRETA%20ANEXO%20IV-%20DEZEMBRO%20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0%20SUBFIN\SUCADPCR\COADE\Cronogramamas%20&amp;%20Limites\LIMITES%20&amp;%20CRONOS%202016\1&#186;%20QUADRIMESTRE%202016\LIMITES%20DE%20ENDIVIDAMENTO%20JAN1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0%20SUBFIN\SUCADPCR\COADE\Cronogramamas%20&amp;%20Limites\LIMITES%20&amp;%20CRONOS%202016\1&#186;%20QUADRIMESTRE%202016\LIMITES%20DE%20ENDIVIDAMENTO%20ABR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RMAL"/>
      <sheetName val="INTRA"/>
      <sheetName val="Plan2"/>
      <sheetName val="Plan3"/>
    </sheetNames>
    <sheetDataSet>
      <sheetData sheetId="1">
        <row r="39">
          <cell r="N39">
            <v>25449217.71</v>
          </cell>
          <cell r="O39">
            <v>72061776.02</v>
          </cell>
        </row>
        <row r="41">
          <cell r="N41">
            <v>1043981674.96</v>
          </cell>
          <cell r="O41">
            <v>0</v>
          </cell>
        </row>
        <row r="42">
          <cell r="N42">
            <v>5179278.109999999</v>
          </cell>
          <cell r="O42">
            <v>6620768.16</v>
          </cell>
        </row>
        <row r="43">
          <cell r="N43">
            <v>581015108.4200001</v>
          </cell>
          <cell r="O43">
            <v>210676392.83</v>
          </cell>
        </row>
        <row r="47">
          <cell r="N47">
            <v>47166520.650000006</v>
          </cell>
          <cell r="O47">
            <v>92833155.48</v>
          </cell>
        </row>
        <row r="48">
          <cell r="N48">
            <v>2313913.71</v>
          </cell>
          <cell r="O48">
            <v>4044126.8</v>
          </cell>
        </row>
        <row r="49">
          <cell r="N49">
            <v>79760777.85</v>
          </cell>
          <cell r="O49">
            <v>82976245.78</v>
          </cell>
        </row>
        <row r="51">
          <cell r="O51">
            <v>5953615.800000001</v>
          </cell>
        </row>
        <row r="52">
          <cell r="O52">
            <v>8651168.09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tra"/>
      <sheetName val="extra"/>
      <sheetName val="externa"/>
    </sheetNames>
    <sheetDataSet>
      <sheetData sheetId="0">
        <row r="86">
          <cell r="AO86">
            <v>8197621449.69</v>
          </cell>
        </row>
        <row r="99">
          <cell r="AO99">
            <v>8039008318.83</v>
          </cell>
        </row>
        <row r="112">
          <cell r="AO112">
            <v>7936799383.07</v>
          </cell>
        </row>
        <row r="138">
          <cell r="AO138">
            <v>7702596188.030001</v>
          </cell>
        </row>
        <row r="151">
          <cell r="AO151">
            <v>7617703625.510001</v>
          </cell>
        </row>
        <row r="164">
          <cell r="AO164">
            <v>7521207058.809999</v>
          </cell>
        </row>
        <row r="177">
          <cell r="AO177">
            <v>6478710490.069999</v>
          </cell>
        </row>
        <row r="190">
          <cell r="AO190">
            <v>5585280179.65</v>
          </cell>
        </row>
        <row r="203">
          <cell r="AO203">
            <v>5877322329.299999</v>
          </cell>
        </row>
        <row r="216">
          <cell r="AO216">
            <v>5673608505.210001</v>
          </cell>
        </row>
        <row r="229">
          <cell r="AO229">
            <v>5301692765.52</v>
          </cell>
        </row>
        <row r="242">
          <cell r="AO242">
            <v>4619548307.650001</v>
          </cell>
        </row>
        <row r="255">
          <cell r="AO255">
            <v>4339697577.93</v>
          </cell>
        </row>
        <row r="268">
          <cell r="AO268">
            <v>4220101691.58</v>
          </cell>
        </row>
        <row r="281">
          <cell r="AO281">
            <v>4146298750.2800007</v>
          </cell>
        </row>
        <row r="294">
          <cell r="AO294">
            <v>4014386981.860001</v>
          </cell>
        </row>
        <row r="307">
          <cell r="AO307">
            <v>3914899022.38</v>
          </cell>
        </row>
        <row r="320">
          <cell r="AO320">
            <v>3848697462.910001</v>
          </cell>
        </row>
        <row r="333">
          <cell r="AO333">
            <v>3645727628.48</v>
          </cell>
        </row>
        <row r="346">
          <cell r="AO346">
            <v>3565260598.8</v>
          </cell>
        </row>
        <row r="359">
          <cell r="AO359">
            <v>3469543812.71</v>
          </cell>
        </row>
        <row r="372">
          <cell r="AO372">
            <v>3331407132.38</v>
          </cell>
        </row>
        <row r="385">
          <cell r="AO385">
            <v>3200756482.49</v>
          </cell>
        </row>
        <row r="398">
          <cell r="AO398">
            <v>3200786003.07</v>
          </cell>
        </row>
        <row r="411">
          <cell r="AO411">
            <v>3200786003.04</v>
          </cell>
        </row>
        <row r="424">
          <cell r="AO424">
            <v>3200786003.0599995</v>
          </cell>
        </row>
        <row r="437">
          <cell r="AO437">
            <v>3200756482.49</v>
          </cell>
        </row>
        <row r="450">
          <cell r="AO450">
            <v>2667326886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tra"/>
      <sheetName val="extra"/>
      <sheetName val="externa"/>
    </sheetNames>
    <sheetDataSet>
      <sheetData sheetId="0">
        <row r="86">
          <cell r="AH86">
            <v>2087565783.2800002</v>
          </cell>
          <cell r="AI86">
            <v>2733833775.6400003</v>
          </cell>
          <cell r="AJ86">
            <v>4821399558.92</v>
          </cell>
        </row>
        <row r="99">
          <cell r="AH99">
            <v>2194618004.65</v>
          </cell>
          <cell r="AI99">
            <v>2626776369.91</v>
          </cell>
          <cell r="AJ99">
            <v>4821394374.56</v>
          </cell>
        </row>
        <row r="112">
          <cell r="AH112">
            <v>2305628900.2799997</v>
          </cell>
          <cell r="AI112">
            <v>2514010081.68</v>
          </cell>
          <cell r="AJ112">
            <v>4819638981.96</v>
          </cell>
        </row>
        <row r="125">
          <cell r="AH125">
            <v>2484501020.4800005</v>
          </cell>
          <cell r="AI125">
            <v>2393954169.73</v>
          </cell>
          <cell r="AJ125">
            <v>4878455190.21</v>
          </cell>
        </row>
        <row r="138">
          <cell r="AH138">
            <v>2545484889.7</v>
          </cell>
          <cell r="AI138">
            <v>2267629865.2599998</v>
          </cell>
          <cell r="AJ138">
            <v>4813114754.959999</v>
          </cell>
        </row>
        <row r="151">
          <cell r="AH151">
            <v>2677165538.76</v>
          </cell>
          <cell r="AI151">
            <v>2135948437.2999997</v>
          </cell>
          <cell r="AJ151">
            <v>4813113976.059999</v>
          </cell>
        </row>
        <row r="164">
          <cell r="AH164">
            <v>2815936415.2700005</v>
          </cell>
          <cell r="AI164">
            <v>1997154410.23</v>
          </cell>
          <cell r="AJ164">
            <v>4813090825.5</v>
          </cell>
        </row>
        <row r="177">
          <cell r="AH177">
            <v>2170573023.0499997</v>
          </cell>
          <cell r="AI177">
            <v>1857505575.1299999</v>
          </cell>
          <cell r="AJ177">
            <v>4028078598.1799994</v>
          </cell>
        </row>
        <row r="190">
          <cell r="AH190">
            <v>1418808494.3200002</v>
          </cell>
          <cell r="AI190">
            <v>1783083017.0800002</v>
          </cell>
          <cell r="AJ190">
            <v>3201891511.3999996</v>
          </cell>
        </row>
        <row r="203">
          <cell r="AH203">
            <v>1472511400.75</v>
          </cell>
          <cell r="AI203">
            <v>1728274602.29</v>
          </cell>
          <cell r="AJ203">
            <v>3200786003.04</v>
          </cell>
        </row>
        <row r="216">
          <cell r="AH216">
            <v>1531666874.78</v>
          </cell>
          <cell r="AI216">
            <v>1669119128.2300005</v>
          </cell>
          <cell r="AJ216">
            <v>3200786003.01</v>
          </cell>
        </row>
        <row r="229">
          <cell r="AH229">
            <v>1594054864</v>
          </cell>
          <cell r="AI229">
            <v>1606701618.42</v>
          </cell>
          <cell r="AJ229">
            <v>3200756482.42</v>
          </cell>
        </row>
        <row r="242">
          <cell r="AH242">
            <v>1659014191.2199998</v>
          </cell>
          <cell r="AI242">
            <v>1541771811.81</v>
          </cell>
          <cell r="AJ242">
            <v>3200786003.0299997</v>
          </cell>
        </row>
        <row r="255">
          <cell r="AH255">
            <v>1726604989.0800004</v>
          </cell>
          <cell r="AI255">
            <v>1474181013.94</v>
          </cell>
          <cell r="AJ255">
            <v>3200786003.0199995</v>
          </cell>
        </row>
        <row r="268">
          <cell r="AH268">
            <v>1796949540.3200002</v>
          </cell>
          <cell r="AI268">
            <v>1403836462.6799998</v>
          </cell>
          <cell r="AJ268">
            <v>3200786003</v>
          </cell>
        </row>
        <row r="281">
          <cell r="AH281">
            <v>1870143046.32</v>
          </cell>
          <cell r="AI281">
            <v>1330613436.11</v>
          </cell>
          <cell r="AJ281">
            <v>3200756482.4300003</v>
          </cell>
        </row>
        <row r="294">
          <cell r="AH294">
            <v>1946353242.59</v>
          </cell>
          <cell r="AI294">
            <v>1254432760.41</v>
          </cell>
          <cell r="AJ294">
            <v>3200786003.0000005</v>
          </cell>
        </row>
        <row r="307">
          <cell r="AH307">
            <v>2025650676.74</v>
          </cell>
          <cell r="AI307">
            <v>1175135326.27</v>
          </cell>
          <cell r="AJ307">
            <v>3200786003.01</v>
          </cell>
        </row>
        <row r="320">
          <cell r="AH320">
            <v>2108178810.7300003</v>
          </cell>
          <cell r="AI320">
            <v>1092607192.28</v>
          </cell>
          <cell r="AJ320">
            <v>3200786003.01</v>
          </cell>
        </row>
        <row r="333">
          <cell r="AH333">
            <v>2194049334.61</v>
          </cell>
          <cell r="AI333">
            <v>1006707147.8500001</v>
          </cell>
          <cell r="AJ333">
            <v>3200756482.4600005</v>
          </cell>
        </row>
        <row r="346">
          <cell r="AH346">
            <v>2283459035.4900002</v>
          </cell>
          <cell r="AI346">
            <v>917326967.5</v>
          </cell>
          <cell r="AJ346">
            <v>3200786002.9900007</v>
          </cell>
        </row>
        <row r="359">
          <cell r="AH359">
            <v>2376490679.84</v>
          </cell>
          <cell r="AI359">
            <v>824295323.2299999</v>
          </cell>
          <cell r="AJ359">
            <v>3200786003.07</v>
          </cell>
        </row>
        <row r="372">
          <cell r="AH372">
            <v>2473312576.88</v>
          </cell>
          <cell r="AI372">
            <v>727473426.16</v>
          </cell>
          <cell r="AJ372">
            <v>3200786003.04</v>
          </cell>
        </row>
        <row r="385">
          <cell r="AH385">
            <v>2574055761.3</v>
          </cell>
          <cell r="AI385">
            <v>626700721.1899999</v>
          </cell>
          <cell r="AJ385">
            <v>3200756482.49</v>
          </cell>
        </row>
        <row r="398">
          <cell r="AH398">
            <v>2678951103.4400005</v>
          </cell>
          <cell r="AI398">
            <v>521834899.63</v>
          </cell>
          <cell r="AJ398">
            <v>3200786003.07</v>
          </cell>
        </row>
        <row r="411">
          <cell r="AH411">
            <v>2788095704.81</v>
          </cell>
          <cell r="AI411">
            <v>412690298.23</v>
          </cell>
          <cell r="AJ411">
            <v>3200786003.04</v>
          </cell>
        </row>
        <row r="424">
          <cell r="AH424">
            <v>2901687025.6400003</v>
          </cell>
          <cell r="AI424">
            <v>299098977.41999996</v>
          </cell>
          <cell r="AJ424">
            <v>3200786003.0599995</v>
          </cell>
        </row>
        <row r="437">
          <cell r="AH437">
            <v>3019878795.58</v>
          </cell>
          <cell r="AI437">
            <v>180877686.91000003</v>
          </cell>
          <cell r="AJ437">
            <v>3200756482.49</v>
          </cell>
        </row>
        <row r="450">
          <cell r="AH450">
            <v>2610368941.94</v>
          </cell>
          <cell r="AI450">
            <v>56957944.059999995</v>
          </cell>
          <cell r="AJ450">
            <v>2667326886</v>
          </cell>
        </row>
      </sheetData>
      <sheetData sheetId="1">
        <row r="86">
          <cell r="EH86">
            <v>1291315875.4099998</v>
          </cell>
          <cell r="EI86">
            <v>981927055.9800001</v>
          </cell>
          <cell r="EJ86">
            <v>183420547.68</v>
          </cell>
        </row>
        <row r="99">
          <cell r="EH99">
            <v>1217223870.45</v>
          </cell>
          <cell r="EI99">
            <v>918616263.9100001</v>
          </cell>
          <cell r="EJ99">
            <v>177484859.58</v>
          </cell>
        </row>
        <row r="112">
          <cell r="EH112">
            <v>1215909885.3700001</v>
          </cell>
          <cell r="EI112">
            <v>856302445.1100001</v>
          </cell>
          <cell r="EJ112">
            <v>171522615.56</v>
          </cell>
        </row>
        <row r="125">
          <cell r="EH125">
            <v>1213700233.52</v>
          </cell>
          <cell r="EI125">
            <v>787910574.0799999</v>
          </cell>
          <cell r="EJ125">
            <v>165554629.79</v>
          </cell>
        </row>
        <row r="138">
          <cell r="EH138">
            <v>1166142204.92</v>
          </cell>
          <cell r="EI138">
            <v>683809684.66</v>
          </cell>
          <cell r="EJ138">
            <v>159238817.77</v>
          </cell>
        </row>
        <row r="151">
          <cell r="EH151">
            <v>1165458603.75</v>
          </cell>
          <cell r="EI151">
            <v>620791498.66</v>
          </cell>
          <cell r="EJ151">
            <v>153083888.52</v>
          </cell>
        </row>
        <row r="164">
          <cell r="EH164">
            <v>1154213819.1499999</v>
          </cell>
          <cell r="EI164">
            <v>557148903.4499999</v>
          </cell>
          <cell r="EJ164">
            <v>146532919.48</v>
          </cell>
        </row>
        <row r="177">
          <cell r="EH177">
            <v>1152794754.8799999</v>
          </cell>
          <cell r="EI177">
            <v>495887153.7800001</v>
          </cell>
          <cell r="EJ177">
            <v>140195559.44</v>
          </cell>
        </row>
        <row r="190">
          <cell r="EH190">
            <v>1161041720.38</v>
          </cell>
          <cell r="EI190">
            <v>431274437.77000004</v>
          </cell>
          <cell r="EJ190">
            <v>133580472.23</v>
          </cell>
        </row>
        <row r="203">
          <cell r="EH203">
            <v>1174660692.0700002</v>
          </cell>
          <cell r="EI203">
            <v>367501005.82000005</v>
          </cell>
          <cell r="EJ203">
            <v>126903431.44999999</v>
          </cell>
        </row>
        <row r="216">
          <cell r="EH216">
            <v>1183671575.7600002</v>
          </cell>
          <cell r="EI216">
            <v>302701974.32</v>
          </cell>
          <cell r="EJ216">
            <v>120123288.11</v>
          </cell>
        </row>
        <row r="229">
          <cell r="EH229">
            <v>989188220.7100002</v>
          </cell>
          <cell r="EI229">
            <v>238815275.51999998</v>
          </cell>
          <cell r="EJ229">
            <v>83534800.07000001</v>
          </cell>
        </row>
        <row r="242">
          <cell r="EH242">
            <v>488937306.05</v>
          </cell>
          <cell r="EI242">
            <v>192360926.86</v>
          </cell>
          <cell r="EJ242">
            <v>26347673.96</v>
          </cell>
        </row>
        <row r="255">
          <cell r="EH255">
            <v>354132890.5</v>
          </cell>
          <cell r="EI255">
            <v>166068606.48999998</v>
          </cell>
          <cell r="EJ255">
            <v>1220244.15</v>
          </cell>
        </row>
        <row r="268">
          <cell r="EH268">
            <v>315805035.51</v>
          </cell>
          <cell r="EI268">
            <v>144052410.60000002</v>
          </cell>
          <cell r="EJ268">
            <v>117482.63999999998</v>
          </cell>
        </row>
        <row r="281">
          <cell r="EH281">
            <v>301388942.08</v>
          </cell>
          <cell r="EI281">
            <v>124535399.96</v>
          </cell>
          <cell r="EJ281">
            <v>0</v>
          </cell>
        </row>
        <row r="294">
          <cell r="EH294">
            <v>301388942.09000003</v>
          </cell>
          <cell r="EI294">
            <v>104549140.94000001</v>
          </cell>
          <cell r="EJ294">
            <v>0</v>
          </cell>
        </row>
        <row r="307">
          <cell r="EH307">
            <v>301388942.08</v>
          </cell>
          <cell r="EI307">
            <v>84775868.80999999</v>
          </cell>
          <cell r="EJ307">
            <v>0</v>
          </cell>
        </row>
        <row r="320">
          <cell r="EH320">
            <v>301388942.09000003</v>
          </cell>
          <cell r="EI320">
            <v>65037081.010000005</v>
          </cell>
          <cell r="EJ320">
            <v>0</v>
          </cell>
        </row>
        <row r="333">
          <cell r="EH333">
            <v>253323698.4</v>
          </cell>
          <cell r="EI333">
            <v>45411663.620000005</v>
          </cell>
          <cell r="EJ333">
            <v>0</v>
          </cell>
        </row>
        <row r="346">
          <cell r="EH346">
            <v>253323698.4</v>
          </cell>
          <cell r="EI346">
            <v>30357581.240000002</v>
          </cell>
          <cell r="EJ346">
            <v>0</v>
          </cell>
        </row>
        <row r="359">
          <cell r="EH359">
            <v>253323698.4</v>
          </cell>
          <cell r="EI359">
            <v>15434111.239999996</v>
          </cell>
          <cell r="EJ359">
            <v>0</v>
          </cell>
        </row>
        <row r="372">
          <cell r="EH372">
            <v>128454887.75</v>
          </cell>
          <cell r="EI372">
            <v>2166241.59</v>
          </cell>
          <cell r="EJ372">
            <v>0</v>
          </cell>
        </row>
        <row r="385">
          <cell r="EH385">
            <v>0</v>
          </cell>
          <cell r="EI385">
            <v>0</v>
          </cell>
          <cell r="EJ385">
            <v>0</v>
          </cell>
        </row>
        <row r="398">
          <cell r="EH398">
            <v>0</v>
          </cell>
          <cell r="EI398">
            <v>0</v>
          </cell>
          <cell r="EJ398">
            <v>0</v>
          </cell>
        </row>
        <row r="411">
          <cell r="EH411">
            <v>0</v>
          </cell>
          <cell r="EI411">
            <v>0</v>
          </cell>
          <cell r="EJ411">
            <v>0</v>
          </cell>
        </row>
      </sheetData>
      <sheetData sheetId="2">
        <row r="86">
          <cell r="BZ86">
            <v>707575642.63</v>
          </cell>
          <cell r="CA86">
            <v>211982769.07</v>
          </cell>
          <cell r="CB86">
            <v>0</v>
          </cell>
        </row>
        <row r="99">
          <cell r="BZ99">
            <v>702715192.6899999</v>
          </cell>
          <cell r="CA99">
            <v>201573757.63999996</v>
          </cell>
          <cell r="CB99">
            <v>0</v>
          </cell>
        </row>
        <row r="112">
          <cell r="BZ112">
            <v>688457872.62</v>
          </cell>
          <cell r="CA112">
            <v>184967582.45000002</v>
          </cell>
          <cell r="CB112">
            <v>0</v>
          </cell>
        </row>
        <row r="125">
          <cell r="BZ125">
            <v>789717247.5799999</v>
          </cell>
          <cell r="CA125">
            <v>168699314.25</v>
          </cell>
          <cell r="CB125">
            <v>0</v>
          </cell>
        </row>
        <row r="138">
          <cell r="BZ138">
            <v>728741910.48</v>
          </cell>
          <cell r="CA138">
            <v>151548815.24</v>
          </cell>
          <cell r="CB138">
            <v>0</v>
          </cell>
        </row>
        <row r="151">
          <cell r="BZ151">
            <v>728741910.48</v>
          </cell>
          <cell r="CA151">
            <v>136513748.04000002</v>
          </cell>
          <cell r="CB151">
            <v>0</v>
          </cell>
        </row>
        <row r="164">
          <cell r="BZ164">
            <v>728741910.48</v>
          </cell>
          <cell r="CA164">
            <v>121478680.75</v>
          </cell>
          <cell r="CB164">
            <v>0</v>
          </cell>
        </row>
        <row r="177">
          <cell r="BZ177">
            <v>553671900.23</v>
          </cell>
          <cell r="CA177">
            <v>108082523.56</v>
          </cell>
          <cell r="CB177">
            <v>0</v>
          </cell>
        </row>
        <row r="190">
          <cell r="BZ190">
            <v>558527790.1</v>
          </cell>
          <cell r="CA190">
            <v>98964247.77000001</v>
          </cell>
          <cell r="CB190">
            <v>0</v>
          </cell>
        </row>
        <row r="203">
          <cell r="BZ203">
            <v>918820677.67</v>
          </cell>
          <cell r="CA203">
            <v>88650519.24999999</v>
          </cell>
          <cell r="CB203">
            <v>0</v>
          </cell>
        </row>
        <row r="216">
          <cell r="BZ216">
            <v>791443855.14</v>
          </cell>
          <cell r="CA216">
            <v>74881808.86999999</v>
          </cell>
          <cell r="CB216">
            <v>0</v>
          </cell>
        </row>
        <row r="229">
          <cell r="BZ229">
            <v>726637855.14</v>
          </cell>
          <cell r="CA229">
            <v>62760131.66</v>
          </cell>
          <cell r="CB229">
            <v>0</v>
          </cell>
        </row>
        <row r="242">
          <cell r="BZ242">
            <v>659708259.53</v>
          </cell>
          <cell r="CA242">
            <v>51408138.22</v>
          </cell>
          <cell r="CB242">
            <v>0</v>
          </cell>
        </row>
        <row r="255">
          <cell r="BZ255">
            <v>576419777.7699999</v>
          </cell>
          <cell r="CA255">
            <v>41070056</v>
          </cell>
          <cell r="CB255">
            <v>0</v>
          </cell>
        </row>
        <row r="268">
          <cell r="BZ268">
            <v>527657891.9599999</v>
          </cell>
          <cell r="CA268">
            <v>31682867.869999994</v>
          </cell>
          <cell r="CB268">
            <v>0</v>
          </cell>
        </row>
        <row r="281">
          <cell r="BZ281">
            <v>496911301.63</v>
          </cell>
          <cell r="CA281">
            <v>22706624.18</v>
          </cell>
          <cell r="CB281">
            <v>0</v>
          </cell>
        </row>
        <row r="294">
          <cell r="BZ294">
            <v>392937171.65999997</v>
          </cell>
          <cell r="CA294">
            <v>14725724.170000002</v>
          </cell>
          <cell r="CB294">
            <v>0</v>
          </cell>
        </row>
        <row r="307">
          <cell r="BZ307">
            <v>319176678.66</v>
          </cell>
          <cell r="CA307">
            <v>8771529.82</v>
          </cell>
          <cell r="CB307">
            <v>0</v>
          </cell>
        </row>
        <row r="320">
          <cell r="BZ320">
            <v>276446194.5</v>
          </cell>
          <cell r="CA320">
            <v>5039242.300000001</v>
          </cell>
          <cell r="CB320">
            <v>0</v>
          </cell>
        </row>
        <row r="333">
          <cell r="BZ333">
            <v>144070218.60000002</v>
          </cell>
          <cell r="CA333">
            <v>2165565.4</v>
          </cell>
          <cell r="CB333">
            <v>0</v>
          </cell>
        </row>
        <row r="346">
          <cell r="BZ346">
            <v>80100216</v>
          </cell>
          <cell r="CA346">
            <v>693100.1699999999</v>
          </cell>
          <cell r="CB346">
            <v>0</v>
          </cell>
        </row>
        <row r="359">
          <cell r="BZ359">
            <v>0</v>
          </cell>
          <cell r="CA359">
            <v>0</v>
          </cell>
          <cell r="CB359">
            <v>0</v>
          </cell>
        </row>
        <row r="372">
          <cell r="BZ372">
            <v>0</v>
          </cell>
          <cell r="CA372">
            <v>0</v>
          </cell>
          <cell r="CB372">
            <v>0</v>
          </cell>
        </row>
        <row r="385">
          <cell r="BZ385">
            <v>0</v>
          </cell>
          <cell r="CA385">
            <v>0</v>
          </cell>
          <cell r="CB385">
            <v>0</v>
          </cell>
        </row>
        <row r="398">
          <cell r="BZ398">
            <v>0</v>
          </cell>
          <cell r="CA398">
            <v>0</v>
          </cell>
          <cell r="CB398">
            <v>0</v>
          </cell>
        </row>
        <row r="411">
          <cell r="BZ411">
            <v>0</v>
          </cell>
          <cell r="CA411">
            <v>0</v>
          </cell>
          <cell r="CB41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tra"/>
      <sheetName val="extra"/>
      <sheetName val="externa"/>
      <sheetName val="PRF - consolidado"/>
      <sheetName val="PRF - PAGO"/>
      <sheetName val="PAGO CREDOR"/>
      <sheetName val="ATM E ATR"/>
      <sheetName val="INDIRETA"/>
      <sheetName val="RELATÓRIO AMT "/>
      <sheetName val="RELATÓRIO PRT"/>
      <sheetName val="NATUREZA DA OPERAÇÃO"/>
      <sheetName val="RELATÓRIO PRF"/>
      <sheetName val="DÍVIDA POR CREDOR "/>
      <sheetName val="CÁLC VARIAÇÃO IENE"/>
      <sheetName val="SERVIÇO EM DÓLAR"/>
      <sheetName val="CÁLC VARIAÇÃO LIBOR"/>
    </sheetNames>
    <sheetDataSet>
      <sheetData sheetId="8">
        <row r="11">
          <cell r="DD11">
            <v>25153702.112499997</v>
          </cell>
        </row>
      </sheetData>
      <sheetData sheetId="9">
        <row r="11">
          <cell r="DD11">
            <v>28197407.502499998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tra"/>
      <sheetName val="extra"/>
      <sheetName val="externa"/>
      <sheetName val="PRF - consolidado"/>
      <sheetName val="PRF - PAGO"/>
      <sheetName val="SERVIÇO"/>
    </sheetNames>
    <sheetDataSet>
      <sheetData sheetId="0">
        <row r="73">
          <cell r="AJ73">
            <v>13267892073.619938</v>
          </cell>
          <cell r="AK73">
            <v>7037687421.292266</v>
          </cell>
        </row>
        <row r="86">
          <cell r="AJ86">
            <v>12157732714.064941</v>
          </cell>
          <cell r="AK86">
            <v>7168303778.679197</v>
          </cell>
        </row>
        <row r="99">
          <cell r="AJ99">
            <v>12644140408.558762</v>
          </cell>
          <cell r="AK99">
            <v>6586131394.332187</v>
          </cell>
        </row>
        <row r="112">
          <cell r="AJ112">
            <v>12300485827.358467</v>
          </cell>
          <cell r="AK112">
            <v>6027611831.532785</v>
          </cell>
        </row>
        <row r="125">
          <cell r="AJ125">
            <v>10923275226.655397</v>
          </cell>
          <cell r="AK125">
            <v>5536420896.041344</v>
          </cell>
        </row>
        <row r="138">
          <cell r="AJ138">
            <v>8186530032.776378</v>
          </cell>
          <cell r="AK138">
            <v>5063238599.797737</v>
          </cell>
        </row>
        <row r="151">
          <cell r="AJ151">
            <v>5184836205.930084</v>
          </cell>
          <cell r="AK151">
            <v>4852077722.568001</v>
          </cell>
        </row>
        <row r="164">
          <cell r="AJ164">
            <v>5762329285.216452</v>
          </cell>
          <cell r="AK164">
            <v>4704978765.099554</v>
          </cell>
        </row>
        <row r="177">
          <cell r="AJ177">
            <v>5895390350.156805</v>
          </cell>
          <cell r="AK177">
            <v>4535102393.491883</v>
          </cell>
        </row>
        <row r="190">
          <cell r="AJ190">
            <v>5870963396.210077</v>
          </cell>
          <cell r="AK190">
            <v>4352272011.915369</v>
          </cell>
        </row>
        <row r="203">
          <cell r="AJ203">
            <v>5415413203.014532</v>
          </cell>
          <cell r="AK203">
            <v>4186656757.0998564</v>
          </cell>
        </row>
        <row r="216">
          <cell r="AJ216">
            <v>5479046726.809118</v>
          </cell>
          <cell r="AK216">
            <v>4049848383.3140726</v>
          </cell>
        </row>
        <row r="229">
          <cell r="AJ229">
            <v>5672042194.666441</v>
          </cell>
          <cell r="AK229">
            <v>3910298842.9308953</v>
          </cell>
        </row>
        <row r="242">
          <cell r="AJ242">
            <v>5967732406.745044</v>
          </cell>
          <cell r="AK242">
            <v>3760000902.829682</v>
          </cell>
        </row>
        <row r="255">
          <cell r="AJ255">
            <v>6268117446.26743</v>
          </cell>
          <cell r="AK255">
            <v>3593752398.236981</v>
          </cell>
        </row>
        <row r="268">
          <cell r="AJ268">
            <v>6562111417.068563</v>
          </cell>
          <cell r="AK268">
            <v>3411611226.880835</v>
          </cell>
        </row>
        <row r="281">
          <cell r="AJ281">
            <v>6912678677.486022</v>
          </cell>
          <cell r="AK281">
            <v>3212811055.0327153</v>
          </cell>
        </row>
        <row r="294">
          <cell r="AJ294">
            <v>7055653741.783712</v>
          </cell>
          <cell r="AK294">
            <v>2996241948.2592416</v>
          </cell>
        </row>
        <row r="307">
          <cell r="AJ307">
            <v>7423045906.760185</v>
          </cell>
          <cell r="AK307">
            <v>2774760819.248328</v>
          </cell>
        </row>
        <row r="320">
          <cell r="AJ320">
            <v>7811287230.269901</v>
          </cell>
          <cell r="AK320">
            <v>2533099088.9781675</v>
          </cell>
        </row>
        <row r="333">
          <cell r="AJ333">
            <v>8029277272.173545</v>
          </cell>
          <cell r="AK333">
            <v>2271246032.595357</v>
          </cell>
        </row>
        <row r="346">
          <cell r="AJ346">
            <v>8209149066.29</v>
          </cell>
          <cell r="AK346">
            <v>1999461412.1299996</v>
          </cell>
        </row>
        <row r="359">
          <cell r="AJ359">
            <v>8742872930.72</v>
          </cell>
          <cell r="AK359">
            <v>1703807973.5500004</v>
          </cell>
        </row>
        <row r="372">
          <cell r="AJ372">
            <v>9311164753.35</v>
          </cell>
          <cell r="AK372">
            <v>1378985146.09</v>
          </cell>
        </row>
        <row r="385">
          <cell r="AJ385">
            <v>9916395874.72</v>
          </cell>
          <cell r="AK385">
            <v>1022898130.71</v>
          </cell>
        </row>
        <row r="398">
          <cell r="AJ398">
            <v>10560817097.67</v>
          </cell>
          <cell r="AK398">
            <v>633266917.6300001</v>
          </cell>
        </row>
        <row r="411">
          <cell r="AJ411">
            <v>9323362259.72</v>
          </cell>
          <cell r="AK411">
            <v>204242936.88000003</v>
          </cell>
        </row>
        <row r="424">
          <cell r="AJ424">
            <v>0</v>
          </cell>
          <cell r="AK424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2024"/>
      <sheetName val="CD PTRES Fonte"/>
      <sheetName val="PGTO por contrato"/>
      <sheetName val="Plan4"/>
      <sheetName val="Planilha1"/>
      <sheetName val="PGTO por fonte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JAN_ABR 17"/>
      <sheetName val="JAN_MAI"/>
      <sheetName val="por CG e CD"/>
      <sheetName val="financeiro dez18"/>
      <sheetName val="estudo"/>
      <sheetName val="CONTAS"/>
      <sheetName val="Janeiro-2024"/>
      <sheetName val="Fevereiro-2024"/>
      <sheetName val="Março-2024"/>
      <sheetName val="Janeiro-2024-12avos"/>
      <sheetName val="Fevereiro-2024-12avos"/>
      <sheetName val="Março-12avos"/>
      <sheetName val="Abril-2024"/>
      <sheetName val="Maio-2024"/>
      <sheetName val="CONTIDO-03-04"/>
      <sheetName val="ORÇAMENTO2024-V4"/>
      <sheetName val="contido-09-04"/>
      <sheetName val="contido-20-03"/>
      <sheetName val="Junho-2024"/>
      <sheetName val="Julho-2024"/>
      <sheetName val="Agosto-2024"/>
      <sheetName val="Setembro-2024"/>
      <sheetName val="Outubro-2024"/>
      <sheetName val="Novembro-2024"/>
      <sheetName val="Dezembro-2024"/>
      <sheetName val="SEPLAG MAR2024"/>
      <sheetName val="ORÇAMENTO2024-V1"/>
      <sheetName val="CONTIDO"/>
      <sheetName val="CONTINGENCIADO"/>
      <sheetName val="ORÇAMENTO2024"/>
      <sheetName val="Planilha3"/>
    </sheetNames>
    <sheetDataSet>
      <sheetData sheetId="3">
        <row r="3">
          <cell r="E3">
            <v>0</v>
          </cell>
          <cell r="F3">
            <v>0</v>
          </cell>
          <cell r="G3">
            <v>0</v>
          </cell>
        </row>
        <row r="4">
          <cell r="E4">
            <v>0</v>
          </cell>
          <cell r="F4">
            <v>0</v>
          </cell>
          <cell r="G4">
            <v>0</v>
          </cell>
        </row>
        <row r="5">
          <cell r="E5">
            <v>0</v>
          </cell>
          <cell r="F5">
            <v>0</v>
          </cell>
          <cell r="G5">
            <v>0</v>
          </cell>
        </row>
        <row r="7">
          <cell r="E7">
            <v>0</v>
          </cell>
          <cell r="F7">
            <v>0</v>
          </cell>
          <cell r="G7">
            <v>0</v>
          </cell>
        </row>
        <row r="8">
          <cell r="E8">
            <v>0</v>
          </cell>
          <cell r="F8">
            <v>0</v>
          </cell>
          <cell r="G8">
            <v>0</v>
          </cell>
        </row>
        <row r="9">
          <cell r="E9">
            <v>0</v>
          </cell>
          <cell r="F9">
            <v>0</v>
          </cell>
          <cell r="G9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51847258.85</v>
          </cell>
          <cell r="F12">
            <v>244938830.03</v>
          </cell>
          <cell r="G12">
            <v>246394891.61</v>
          </cell>
        </row>
        <row r="13">
          <cell r="E13">
            <v>168789.15</v>
          </cell>
          <cell r="F13">
            <v>169649.88</v>
          </cell>
          <cell r="G13">
            <v>170658.37</v>
          </cell>
        </row>
        <row r="15">
          <cell r="E15">
            <v>0</v>
          </cell>
          <cell r="F15">
            <v>0</v>
          </cell>
          <cell r="G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</row>
        <row r="23">
          <cell r="E23">
            <v>0</v>
          </cell>
          <cell r="F23">
            <v>0</v>
          </cell>
          <cell r="G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6">
          <cell r="E56">
            <v>0</v>
          </cell>
          <cell r="F56">
            <v>0</v>
          </cell>
          <cell r="G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</row>
        <row r="63">
          <cell r="E63">
            <v>0</v>
          </cell>
          <cell r="F63">
            <v>0</v>
          </cell>
          <cell r="G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</row>
        <row r="67">
          <cell r="E67">
            <v>0</v>
          </cell>
          <cell r="F67">
            <v>0</v>
          </cell>
          <cell r="G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</row>
        <row r="71">
          <cell r="E71">
            <v>0</v>
          </cell>
          <cell r="F71">
            <v>0</v>
          </cell>
          <cell r="G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</row>
        <row r="75">
          <cell r="E75">
            <v>0</v>
          </cell>
          <cell r="F75">
            <v>0</v>
          </cell>
          <cell r="G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</row>
        <row r="79">
          <cell r="E79">
            <v>0</v>
          </cell>
          <cell r="F79">
            <v>0</v>
          </cell>
          <cell r="G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</row>
        <row r="87">
          <cell r="E87">
            <v>0</v>
          </cell>
          <cell r="F87">
            <v>0</v>
          </cell>
          <cell r="G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</row>
        <row r="91">
          <cell r="E91">
            <v>0</v>
          </cell>
          <cell r="F91">
            <v>0</v>
          </cell>
          <cell r="G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</row>
        <row r="95">
          <cell r="E95">
            <v>0</v>
          </cell>
          <cell r="F95">
            <v>0</v>
          </cell>
          <cell r="G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</row>
        <row r="97">
          <cell r="E97">
            <v>0</v>
          </cell>
          <cell r="F97">
            <v>0</v>
          </cell>
          <cell r="G97">
            <v>0</v>
          </cell>
        </row>
        <row r="99">
          <cell r="E99">
            <v>2780185.01</v>
          </cell>
          <cell r="F99">
            <v>2692835.7</v>
          </cell>
          <cell r="G99">
            <v>2495059.47</v>
          </cell>
        </row>
        <row r="100">
          <cell r="E100">
            <v>0</v>
          </cell>
          <cell r="F100">
            <v>0</v>
          </cell>
          <cell r="G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</row>
        <row r="103">
          <cell r="E103">
            <v>1951898.83</v>
          </cell>
          <cell r="F103">
            <v>1951898.83</v>
          </cell>
          <cell r="G103">
            <v>1951898.83</v>
          </cell>
        </row>
        <row r="104">
          <cell r="E104">
            <v>2479692.27</v>
          </cell>
          <cell r="F104">
            <v>2498625.69</v>
          </cell>
          <cell r="G104">
            <v>2514240.88</v>
          </cell>
        </row>
        <row r="105">
          <cell r="E105">
            <v>0</v>
          </cell>
          <cell r="F105">
            <v>0</v>
          </cell>
          <cell r="G105">
            <v>0</v>
          </cell>
        </row>
        <row r="107">
          <cell r="E107">
            <v>308200.3</v>
          </cell>
          <cell r="F107">
            <v>308200.3</v>
          </cell>
          <cell r="G107">
            <v>308200.3</v>
          </cell>
        </row>
        <row r="108">
          <cell r="E108">
            <v>391537.66</v>
          </cell>
          <cell r="F108">
            <v>394527.2</v>
          </cell>
          <cell r="G108">
            <v>396992.81</v>
          </cell>
        </row>
        <row r="109">
          <cell r="E109">
            <v>0</v>
          </cell>
          <cell r="F109">
            <v>0</v>
          </cell>
          <cell r="G109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</row>
        <row r="115">
          <cell r="E115">
            <v>165061.7</v>
          </cell>
          <cell r="F115">
            <v>165061.7</v>
          </cell>
          <cell r="G115">
            <v>165061.7</v>
          </cell>
        </row>
        <row r="116">
          <cell r="E116">
            <v>209694.38</v>
          </cell>
          <cell r="F116">
            <v>211295.48</v>
          </cell>
          <cell r="G116">
            <v>212615.98</v>
          </cell>
        </row>
        <row r="117">
          <cell r="E117">
            <v>0</v>
          </cell>
          <cell r="F117">
            <v>0</v>
          </cell>
          <cell r="G117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</row>
        <row r="123">
          <cell r="E123">
            <v>3307404.81</v>
          </cell>
          <cell r="F123">
            <v>3307404.81</v>
          </cell>
          <cell r="G123">
            <v>3307404.81</v>
          </cell>
        </row>
        <row r="124">
          <cell r="E124">
            <v>4201727.07</v>
          </cell>
          <cell r="F124">
            <v>4233808.9</v>
          </cell>
          <cell r="G124">
            <v>4260268.14</v>
          </cell>
        </row>
        <row r="125">
          <cell r="E125">
            <v>0</v>
          </cell>
          <cell r="F125">
            <v>0</v>
          </cell>
          <cell r="G125">
            <v>0</v>
          </cell>
        </row>
        <row r="127">
          <cell r="E127">
            <v>6363867.25</v>
          </cell>
          <cell r="F127">
            <v>6363867.25</v>
          </cell>
          <cell r="G127">
            <v>6363867.25</v>
          </cell>
        </row>
        <row r="128">
          <cell r="E128">
            <v>63638.67</v>
          </cell>
          <cell r="F128">
            <v>0</v>
          </cell>
          <cell r="G128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</row>
        <row r="131">
          <cell r="E131">
            <v>4193055.05</v>
          </cell>
          <cell r="F131">
            <v>4193055.05</v>
          </cell>
          <cell r="G131">
            <v>4193055.05</v>
          </cell>
        </row>
        <row r="132">
          <cell r="E132">
            <v>0</v>
          </cell>
          <cell r="F132">
            <v>0</v>
          </cell>
          <cell r="G132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</row>
        <row r="135">
          <cell r="E135">
            <v>373437.02</v>
          </cell>
          <cell r="F135">
            <v>375909.1</v>
          </cell>
          <cell r="G135">
            <v>377947.93</v>
          </cell>
        </row>
        <row r="136">
          <cell r="E136">
            <v>0</v>
          </cell>
          <cell r="F136">
            <v>0</v>
          </cell>
          <cell r="G136">
            <v>0</v>
          </cell>
        </row>
        <row r="137">
          <cell r="E137">
            <v>0</v>
          </cell>
          <cell r="F137">
            <v>0</v>
          </cell>
          <cell r="G137">
            <v>0</v>
          </cell>
        </row>
        <row r="139">
          <cell r="E139">
            <v>0</v>
          </cell>
          <cell r="F139">
            <v>0</v>
          </cell>
          <cell r="G139">
            <v>0</v>
          </cell>
        </row>
        <row r="140">
          <cell r="E140">
            <v>0</v>
          </cell>
          <cell r="F140">
            <v>0</v>
          </cell>
          <cell r="G140">
            <v>0</v>
          </cell>
        </row>
        <row r="141">
          <cell r="E141">
            <v>0</v>
          </cell>
          <cell r="F141">
            <v>0</v>
          </cell>
          <cell r="G141">
            <v>0</v>
          </cell>
        </row>
        <row r="143">
          <cell r="E143">
            <v>3360165.03</v>
          </cell>
          <cell r="F143">
            <v>3382408.66</v>
          </cell>
          <cell r="G143">
            <v>3400753.93</v>
          </cell>
        </row>
        <row r="144">
          <cell r="E144">
            <v>0</v>
          </cell>
          <cell r="F144">
            <v>0</v>
          </cell>
          <cell r="G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</row>
        <row r="147">
          <cell r="E147">
            <v>0</v>
          </cell>
          <cell r="F147">
            <v>0</v>
          </cell>
          <cell r="G147">
            <v>0</v>
          </cell>
        </row>
        <row r="148">
          <cell r="E148">
            <v>0</v>
          </cell>
          <cell r="F148">
            <v>0</v>
          </cell>
          <cell r="G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</row>
        <row r="151">
          <cell r="E151">
            <v>108132305.24</v>
          </cell>
          <cell r="F151">
            <v>108173010.84</v>
          </cell>
          <cell r="G151">
            <v>109976621.5</v>
          </cell>
        </row>
        <row r="152">
          <cell r="E152">
            <v>223936471.87</v>
          </cell>
          <cell r="F152">
            <v>227093936.79</v>
          </cell>
          <cell r="G152">
            <v>229220606.41</v>
          </cell>
        </row>
        <row r="153">
          <cell r="E153">
            <v>38364.36</v>
          </cell>
          <cell r="F153">
            <v>38578.93</v>
          </cell>
          <cell r="G153">
            <v>38822.43</v>
          </cell>
        </row>
        <row r="155">
          <cell r="E155">
            <v>76480386.38</v>
          </cell>
          <cell r="F155">
            <v>54348487.21</v>
          </cell>
          <cell r="G155">
            <v>157562880.14</v>
          </cell>
        </row>
        <row r="159">
          <cell r="E159">
            <v>0</v>
          </cell>
          <cell r="F159">
            <v>0</v>
          </cell>
          <cell r="G159">
            <v>0</v>
          </cell>
        </row>
        <row r="160">
          <cell r="E160">
            <v>0</v>
          </cell>
          <cell r="F160">
            <v>0</v>
          </cell>
          <cell r="G160">
            <v>0</v>
          </cell>
        </row>
        <row r="161">
          <cell r="E161">
            <v>0</v>
          </cell>
          <cell r="F161">
            <v>0</v>
          </cell>
          <cell r="G161">
            <v>0</v>
          </cell>
        </row>
        <row r="163">
          <cell r="E163">
            <v>0</v>
          </cell>
          <cell r="F163">
            <v>0</v>
          </cell>
          <cell r="G163">
            <v>0</v>
          </cell>
        </row>
        <row r="164">
          <cell r="E164">
            <v>0</v>
          </cell>
          <cell r="F164">
            <v>0</v>
          </cell>
          <cell r="G164">
            <v>0</v>
          </cell>
        </row>
        <row r="165">
          <cell r="E165">
            <v>0</v>
          </cell>
          <cell r="F165">
            <v>0</v>
          </cell>
          <cell r="G165">
            <v>0</v>
          </cell>
        </row>
        <row r="167">
          <cell r="E167">
            <v>0</v>
          </cell>
          <cell r="F167">
            <v>0</v>
          </cell>
          <cell r="G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</row>
        <row r="169">
          <cell r="E169">
            <v>0</v>
          </cell>
          <cell r="F169">
            <v>0</v>
          </cell>
          <cell r="G169">
            <v>0</v>
          </cell>
        </row>
        <row r="171">
          <cell r="E171">
            <v>0</v>
          </cell>
          <cell r="F171">
            <v>0</v>
          </cell>
          <cell r="G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</row>
        <row r="181">
          <cell r="E181">
            <v>0</v>
          </cell>
          <cell r="F181">
            <v>0</v>
          </cell>
          <cell r="G181">
            <v>0</v>
          </cell>
        </row>
        <row r="183">
          <cell r="E183">
            <v>0</v>
          </cell>
          <cell r="F183">
            <v>0</v>
          </cell>
          <cell r="G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</row>
        <row r="188">
          <cell r="E188">
            <v>0</v>
          </cell>
          <cell r="F188">
            <v>0</v>
          </cell>
          <cell r="G188">
            <v>0</v>
          </cell>
        </row>
        <row r="189">
          <cell r="E189">
            <v>0</v>
          </cell>
          <cell r="F189">
            <v>0</v>
          </cell>
          <cell r="G189">
            <v>0</v>
          </cell>
        </row>
        <row r="191">
          <cell r="E191">
            <v>0</v>
          </cell>
          <cell r="F191">
            <v>0</v>
          </cell>
          <cell r="G191">
            <v>0</v>
          </cell>
        </row>
        <row r="192">
          <cell r="E192">
            <v>0</v>
          </cell>
          <cell r="F192">
            <v>0</v>
          </cell>
          <cell r="G192">
            <v>0</v>
          </cell>
        </row>
        <row r="193">
          <cell r="E193">
            <v>0</v>
          </cell>
          <cell r="F193">
            <v>0</v>
          </cell>
          <cell r="G193">
            <v>0</v>
          </cell>
        </row>
        <row r="195">
          <cell r="E195">
            <v>0</v>
          </cell>
          <cell r="F195">
            <v>0</v>
          </cell>
          <cell r="G195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</row>
        <row r="199">
          <cell r="E199">
            <v>0</v>
          </cell>
          <cell r="F199">
            <v>0</v>
          </cell>
          <cell r="G199">
            <v>0</v>
          </cell>
        </row>
        <row r="200">
          <cell r="E200">
            <v>0</v>
          </cell>
          <cell r="F200">
            <v>0</v>
          </cell>
          <cell r="G200">
            <v>0</v>
          </cell>
        </row>
        <row r="201">
          <cell r="E201">
            <v>0</v>
          </cell>
          <cell r="F201">
            <v>0</v>
          </cell>
          <cell r="G201">
            <v>0</v>
          </cell>
        </row>
        <row r="203">
          <cell r="E203">
            <v>0</v>
          </cell>
          <cell r="F203">
            <v>0</v>
          </cell>
          <cell r="G203">
            <v>0</v>
          </cell>
        </row>
        <row r="204">
          <cell r="E204">
            <v>0</v>
          </cell>
          <cell r="F204">
            <v>0</v>
          </cell>
          <cell r="G204">
            <v>0</v>
          </cell>
        </row>
        <row r="205">
          <cell r="E205">
            <v>0</v>
          </cell>
          <cell r="F205">
            <v>0</v>
          </cell>
          <cell r="G205">
            <v>0</v>
          </cell>
        </row>
        <row r="207">
          <cell r="E207">
            <v>0</v>
          </cell>
          <cell r="F207">
            <v>0</v>
          </cell>
          <cell r="G207">
            <v>0</v>
          </cell>
        </row>
        <row r="208">
          <cell r="E208">
            <v>0</v>
          </cell>
          <cell r="F208">
            <v>0</v>
          </cell>
          <cell r="G208">
            <v>0</v>
          </cell>
        </row>
        <row r="209">
          <cell r="E209">
            <v>0</v>
          </cell>
          <cell r="F209">
            <v>0</v>
          </cell>
          <cell r="G209">
            <v>0</v>
          </cell>
        </row>
        <row r="211">
          <cell r="E211">
            <v>0</v>
          </cell>
          <cell r="F211">
            <v>0</v>
          </cell>
          <cell r="G211">
            <v>0</v>
          </cell>
        </row>
        <row r="212">
          <cell r="E212">
            <v>0</v>
          </cell>
          <cell r="F212">
            <v>0</v>
          </cell>
          <cell r="G212">
            <v>0</v>
          </cell>
        </row>
        <row r="213">
          <cell r="E213">
            <v>0</v>
          </cell>
          <cell r="F213">
            <v>0</v>
          </cell>
          <cell r="G213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</row>
        <row r="216">
          <cell r="E216">
            <v>0</v>
          </cell>
          <cell r="F216">
            <v>0</v>
          </cell>
          <cell r="G216">
            <v>0</v>
          </cell>
        </row>
        <row r="217">
          <cell r="E217">
            <v>0</v>
          </cell>
          <cell r="F217">
            <v>0</v>
          </cell>
          <cell r="G217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</row>
        <row r="221">
          <cell r="E221">
            <v>0</v>
          </cell>
          <cell r="F221">
            <v>0</v>
          </cell>
          <cell r="G221">
            <v>0</v>
          </cell>
        </row>
        <row r="223">
          <cell r="E223">
            <v>0</v>
          </cell>
          <cell r="F223">
            <v>0</v>
          </cell>
          <cell r="G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</row>
        <row r="225">
          <cell r="E225">
            <v>0</v>
          </cell>
          <cell r="F225">
            <v>0</v>
          </cell>
          <cell r="G225">
            <v>0</v>
          </cell>
        </row>
        <row r="227">
          <cell r="E227">
            <v>0</v>
          </cell>
          <cell r="F227">
            <v>0</v>
          </cell>
          <cell r="G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</row>
        <row r="233">
          <cell r="E233">
            <v>0</v>
          </cell>
          <cell r="F233">
            <v>0</v>
          </cell>
          <cell r="G233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</row>
        <row r="241">
          <cell r="E241">
            <v>0</v>
          </cell>
          <cell r="F241">
            <v>0</v>
          </cell>
          <cell r="G24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A"/>
    </sheetNames>
    <sheetDataSet>
      <sheetData sheetId="0">
        <row r="16">
          <cell r="C16">
            <v>321754.12</v>
          </cell>
          <cell r="D16">
            <v>668423.46</v>
          </cell>
        </row>
        <row r="25">
          <cell r="C25">
            <v>339920.49</v>
          </cell>
          <cell r="D25">
            <v>222629.82000000004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S"/>
      <sheetName val="intra"/>
      <sheetName val="extra"/>
      <sheetName val="externa"/>
      <sheetName val="S_PENALIDADE"/>
      <sheetName val="ANUAL"/>
      <sheetName val="RESSARCIMENTO-9A"/>
      <sheetName val="dedução-lc194-JUN"/>
      <sheetName val="194-orçam"/>
      <sheetName val="previsão-24a27"/>
      <sheetName val="LIQ-DMLP"/>
      <sheetName val="Credor"/>
      <sheetName val="Gráfico1"/>
      <sheetName val="Credor mensal 2023"/>
      <sheetName val="dedução-lc194-MAI"/>
    </sheetNames>
    <sheetDataSet>
      <sheetData sheetId="1"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3011965408.701872</v>
          </cell>
          <cell r="L73">
            <v>2086155.39</v>
          </cell>
          <cell r="M73">
            <v>0</v>
          </cell>
          <cell r="N73">
            <v>0</v>
          </cell>
          <cell r="O73">
            <v>0</v>
          </cell>
          <cell r="P73">
            <v>1383620563.17</v>
          </cell>
          <cell r="Q73">
            <v>2830531091.7300005</v>
          </cell>
          <cell r="R73">
            <v>472303.14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67288064.77180976</v>
          </cell>
          <cell r="K86">
            <v>3743954618.56</v>
          </cell>
          <cell r="L86">
            <v>2176602.74</v>
          </cell>
          <cell r="M86">
            <v>0</v>
          </cell>
          <cell r="N86">
            <v>0</v>
          </cell>
          <cell r="O86">
            <v>0</v>
          </cell>
          <cell r="P86">
            <v>1649262793.7999997</v>
          </cell>
          <cell r="Q86">
            <v>3023807811.37</v>
          </cell>
          <cell r="R86">
            <v>493167.94999999995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864277968.4312515</v>
          </cell>
          <cell r="K99">
            <v>3808719959.74</v>
          </cell>
          <cell r="L99">
            <v>2270427.6399999997</v>
          </cell>
          <cell r="M99">
            <v>0</v>
          </cell>
          <cell r="N99">
            <v>0</v>
          </cell>
          <cell r="O99">
            <v>0</v>
          </cell>
          <cell r="P99">
            <v>1857901543.29</v>
          </cell>
          <cell r="Q99">
            <v>3220729278.31</v>
          </cell>
          <cell r="R99">
            <v>514389.24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1734608101.4339552</v>
          </cell>
          <cell r="K112">
            <v>3869446369.92</v>
          </cell>
          <cell r="L112">
            <v>2369194.8499999996</v>
          </cell>
          <cell r="M112">
            <v>0</v>
          </cell>
          <cell r="N112">
            <v>0</v>
          </cell>
          <cell r="O112">
            <v>0</v>
          </cell>
          <cell r="P112">
            <v>2061773217.3000004</v>
          </cell>
          <cell r="Q112">
            <v>3373235354.89</v>
          </cell>
          <cell r="R112">
            <v>536766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2911740799.46</v>
          </cell>
          <cell r="K125">
            <v>3923711937.09</v>
          </cell>
          <cell r="L125">
            <v>2472212.1</v>
          </cell>
          <cell r="M125">
            <v>0</v>
          </cell>
          <cell r="N125">
            <v>0</v>
          </cell>
          <cell r="O125">
            <v>0</v>
          </cell>
          <cell r="P125">
            <v>2241833862.2400002</v>
          </cell>
          <cell r="Q125">
            <v>3481454195.63</v>
          </cell>
          <cell r="R125">
            <v>560116.1599999999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3162254088.720001</v>
          </cell>
          <cell r="K138">
            <v>3970685637.99</v>
          </cell>
          <cell r="L138">
            <v>2579805.73</v>
          </cell>
          <cell r="M138">
            <v>0</v>
          </cell>
          <cell r="N138">
            <v>0</v>
          </cell>
          <cell r="O138">
            <v>0</v>
          </cell>
          <cell r="P138">
            <v>2437098503.74</v>
          </cell>
          <cell r="Q138">
            <v>3528042746.9799995</v>
          </cell>
          <cell r="R138">
            <v>584482.09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3434256772.3300004</v>
          </cell>
          <cell r="K151">
            <v>4008977086.99</v>
          </cell>
          <cell r="L151">
            <v>2692031.35</v>
          </cell>
          <cell r="M151">
            <v>0</v>
          </cell>
          <cell r="N151">
            <v>0</v>
          </cell>
          <cell r="O151">
            <v>0</v>
          </cell>
          <cell r="P151">
            <v>2638766043.2900004</v>
          </cell>
          <cell r="Q151">
            <v>3578338913.17</v>
          </cell>
          <cell r="R151">
            <v>609907.96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3729655887.07</v>
          </cell>
          <cell r="K164">
            <v>4037370389.31</v>
          </cell>
          <cell r="L164">
            <v>2809138.92</v>
          </cell>
          <cell r="M164">
            <v>0</v>
          </cell>
          <cell r="N164">
            <v>0</v>
          </cell>
          <cell r="O164">
            <v>0</v>
          </cell>
          <cell r="P164">
            <v>2758127266.08</v>
          </cell>
          <cell r="Q164">
            <v>3745997333.8099995</v>
          </cell>
          <cell r="R164">
            <v>636439.9500000001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4050388806.069999</v>
          </cell>
          <cell r="K177">
            <v>4054363096.540001</v>
          </cell>
          <cell r="L177">
            <v>2931285.89</v>
          </cell>
          <cell r="M177">
            <v>0</v>
          </cell>
          <cell r="N177">
            <v>0</v>
          </cell>
          <cell r="O177">
            <v>0</v>
          </cell>
          <cell r="P177">
            <v>2978691102.6200004</v>
          </cell>
          <cell r="Q177">
            <v>3812768545.3900003</v>
          </cell>
          <cell r="R177">
            <v>664126.0599999998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4398866329.38</v>
          </cell>
          <cell r="K190">
            <v>4058613964.7299995</v>
          </cell>
          <cell r="L190">
            <v>3058858.8299999996</v>
          </cell>
          <cell r="M190">
            <v>0</v>
          </cell>
          <cell r="N190">
            <v>0</v>
          </cell>
          <cell r="O190">
            <v>0</v>
          </cell>
          <cell r="P190">
            <v>3252035135.2299995</v>
          </cell>
          <cell r="Q190">
            <v>3838924191.21</v>
          </cell>
          <cell r="R190">
            <v>693016.57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4777236761.629999</v>
          </cell>
          <cell r="K203">
            <v>4048157269.7099996</v>
          </cell>
          <cell r="L203">
            <v>3191924</v>
          </cell>
          <cell r="M203">
            <v>0</v>
          </cell>
          <cell r="N203">
            <v>0</v>
          </cell>
          <cell r="O203">
            <v>0</v>
          </cell>
          <cell r="P203">
            <v>3537909529.26</v>
          </cell>
          <cell r="Q203">
            <v>3865622811.2299995</v>
          </cell>
          <cell r="R203">
            <v>723163.9299999999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5188152893.93</v>
          </cell>
          <cell r="K216">
            <v>4021159702.73</v>
          </cell>
          <cell r="L216">
            <v>3330777.7500000005</v>
          </cell>
          <cell r="M216">
            <v>0</v>
          </cell>
          <cell r="N216">
            <v>0</v>
          </cell>
          <cell r="O216">
            <v>0</v>
          </cell>
          <cell r="P216">
            <v>3848730464.5200005</v>
          </cell>
          <cell r="Q216">
            <v>3881153264.01</v>
          </cell>
          <cell r="R216">
            <v>754622.66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5629387934.820001</v>
          </cell>
          <cell r="K229">
            <v>3972088931.1899996</v>
          </cell>
          <cell r="L229">
            <v>3472613.79</v>
          </cell>
          <cell r="M229">
            <v>0</v>
          </cell>
          <cell r="N229">
            <v>0</v>
          </cell>
          <cell r="O229">
            <v>0</v>
          </cell>
          <cell r="P229">
            <v>4173722398.2200007</v>
          </cell>
          <cell r="Q229">
            <v>3892509728.5699997</v>
          </cell>
          <cell r="R229">
            <v>786948.8500000001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6066499242.0199995</v>
          </cell>
          <cell r="K242">
            <v>3875638204.43</v>
          </cell>
          <cell r="L242">
            <v>3595822.0999999996</v>
          </cell>
          <cell r="M242">
            <v>0</v>
          </cell>
          <cell r="N242">
            <v>0</v>
          </cell>
          <cell r="O242">
            <v>0</v>
          </cell>
          <cell r="P242">
            <v>4518491524.7300005</v>
          </cell>
          <cell r="Q242">
            <v>3842263780.61</v>
          </cell>
          <cell r="R242">
            <v>815215.9700000001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6529094306.19</v>
          </cell>
          <cell r="K255">
            <v>3752291736.8700004</v>
          </cell>
          <cell r="L255">
            <v>3718519.8</v>
          </cell>
          <cell r="M255">
            <v>0</v>
          </cell>
          <cell r="N255">
            <v>0</v>
          </cell>
          <cell r="O255">
            <v>0</v>
          </cell>
          <cell r="P255">
            <v>4870636511.97</v>
          </cell>
          <cell r="Q255">
            <v>3780203693.8599997</v>
          </cell>
          <cell r="R255">
            <v>843032.98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7026964112.019998</v>
          </cell>
          <cell r="K268">
            <v>3605246470.0699997</v>
          </cell>
          <cell r="L268">
            <v>3845404.3099999996</v>
          </cell>
          <cell r="M268">
            <v>0</v>
          </cell>
          <cell r="N268">
            <v>0</v>
          </cell>
          <cell r="O268">
            <v>0</v>
          </cell>
          <cell r="P268">
            <v>5250014034.740001</v>
          </cell>
          <cell r="Q268">
            <v>3700975861.9699993</v>
          </cell>
          <cell r="R268">
            <v>871799.26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7562673318.470001</v>
          </cell>
          <cell r="K281">
            <v>3432148251.79</v>
          </cell>
          <cell r="L281">
            <v>3976551.72</v>
          </cell>
          <cell r="M281">
            <v>0</v>
          </cell>
          <cell r="N281">
            <v>0</v>
          </cell>
          <cell r="O281">
            <v>0</v>
          </cell>
          <cell r="P281">
            <v>5649307888.85</v>
          </cell>
          <cell r="Q281">
            <v>3613104273.87</v>
          </cell>
          <cell r="R281">
            <v>901547.06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8139492425.76</v>
          </cell>
          <cell r="K294">
            <v>3230688530.8499994</v>
          </cell>
          <cell r="L294">
            <v>4112309.7700000005</v>
          </cell>
          <cell r="M294">
            <v>0</v>
          </cell>
          <cell r="N294">
            <v>0</v>
          </cell>
          <cell r="O294">
            <v>0</v>
          </cell>
          <cell r="P294">
            <v>6099699730.900001</v>
          </cell>
          <cell r="Q294">
            <v>3484255921.4500003</v>
          </cell>
          <cell r="R294">
            <v>932309.8999999999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8760161591.08</v>
          </cell>
          <cell r="K307">
            <v>2997996091.19</v>
          </cell>
          <cell r="L307">
            <v>4252631.2</v>
          </cell>
          <cell r="M307">
            <v>0</v>
          </cell>
          <cell r="N307">
            <v>0</v>
          </cell>
          <cell r="O307">
            <v>0</v>
          </cell>
          <cell r="P307">
            <v>6574078330.82</v>
          </cell>
          <cell r="Q307">
            <v>3342402400.9399996</v>
          </cell>
          <cell r="R307">
            <v>964122.4700000001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9428159286.570002</v>
          </cell>
          <cell r="K320">
            <v>2731213779.6</v>
          </cell>
          <cell r="L320">
            <v>4397740.86</v>
          </cell>
          <cell r="M320">
            <v>0</v>
          </cell>
          <cell r="N320">
            <v>0</v>
          </cell>
          <cell r="O320">
            <v>0</v>
          </cell>
          <cell r="P320">
            <v>7085108098.860001</v>
          </cell>
          <cell r="Q320">
            <v>3175435007.85</v>
          </cell>
          <cell r="R320">
            <v>997020.5899999999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10146926545.02</v>
          </cell>
          <cell r="K333">
            <v>2427141306.3499994</v>
          </cell>
          <cell r="L333">
            <v>4547725.509999999</v>
          </cell>
          <cell r="M333">
            <v>0</v>
          </cell>
          <cell r="N333">
            <v>0</v>
          </cell>
          <cell r="O333">
            <v>0</v>
          </cell>
          <cell r="P333">
            <v>7628001886.97</v>
          </cell>
          <cell r="Q333">
            <v>2989525376.9300003</v>
          </cell>
          <cell r="R333">
            <v>1031041.1599999999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10920851434.359999</v>
          </cell>
          <cell r="K346">
            <v>2082490722.37</v>
          </cell>
          <cell r="L346">
            <v>4122368.05</v>
          </cell>
          <cell r="M346">
            <v>0</v>
          </cell>
          <cell r="N346">
            <v>0</v>
          </cell>
          <cell r="O346">
            <v>0</v>
          </cell>
          <cell r="P346">
            <v>8229544927.49</v>
          </cell>
          <cell r="Q346">
            <v>2756568478.7599998</v>
          </cell>
          <cell r="R346">
            <v>1066222.6400000001</v>
          </cell>
        </row>
        <row r="359"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11753610455.4</v>
          </cell>
          <cell r="K359">
            <v>1693435643.4</v>
          </cell>
          <cell r="L359">
            <v>3302349.34</v>
          </cell>
          <cell r="M359">
            <v>0</v>
          </cell>
          <cell r="N359">
            <v>0</v>
          </cell>
          <cell r="O359">
            <v>0</v>
          </cell>
          <cell r="P359">
            <v>8868425261.19</v>
          </cell>
          <cell r="Q359">
            <v>2498862512.46</v>
          </cell>
          <cell r="R359">
            <v>1102604.6300000001</v>
          </cell>
        </row>
        <row r="372"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12649870714.59</v>
          </cell>
          <cell r="K372">
            <v>1256019525.42</v>
          </cell>
          <cell r="L372">
            <v>3415033.0600000005</v>
          </cell>
          <cell r="M372">
            <v>0</v>
          </cell>
          <cell r="N372">
            <v>0</v>
          </cell>
          <cell r="O372">
            <v>0</v>
          </cell>
          <cell r="P372">
            <v>9556627382.800001</v>
          </cell>
          <cell r="Q372">
            <v>2205059990.21</v>
          </cell>
          <cell r="R372">
            <v>1140228.04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13614249085.500002</v>
          </cell>
          <cell r="K385">
            <v>765900816.9499999</v>
          </cell>
          <cell r="L385">
            <v>3531502.5600000005</v>
          </cell>
          <cell r="M385">
            <v>0</v>
          </cell>
          <cell r="N385">
            <v>0</v>
          </cell>
          <cell r="O385">
            <v>0</v>
          </cell>
          <cell r="P385">
            <v>10293504440.05</v>
          </cell>
          <cell r="Q385">
            <v>1877394805.1599998</v>
          </cell>
          <cell r="R385">
            <v>1179135.24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12135189721.31</v>
          </cell>
          <cell r="K398">
            <v>222644703.14</v>
          </cell>
          <cell r="L398">
            <v>2338692.95</v>
          </cell>
          <cell r="M398">
            <v>0</v>
          </cell>
          <cell r="N398">
            <v>0</v>
          </cell>
          <cell r="O398">
            <v>0</v>
          </cell>
          <cell r="P398">
            <v>11097712817.61</v>
          </cell>
          <cell r="Q398">
            <v>1495697685.6499999</v>
          </cell>
          <cell r="R398">
            <v>1219370.06</v>
          </cell>
        </row>
        <row r="411"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11957955891.710001</v>
          </cell>
          <cell r="N411">
            <v>1072395784.88</v>
          </cell>
          <cell r="O411">
            <v>1260977.75</v>
          </cell>
        </row>
        <row r="424"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12884565372.099998</v>
          </cell>
          <cell r="Q424">
            <v>597887595.76</v>
          </cell>
          <cell r="R424">
            <v>1122617.03</v>
          </cell>
        </row>
        <row r="437">
          <cell r="A437">
            <v>7972115281.860001</v>
          </cell>
          <cell r="B437">
            <v>108131743.13000001</v>
          </cell>
          <cell r="C437">
            <v>516499.17000000004</v>
          </cell>
        </row>
      </sheetData>
      <sheetData sheetId="2">
        <row r="73">
          <cell r="F73">
            <v>31368080.18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2214026.269674</v>
          </cell>
          <cell r="S73">
            <v>10289215.799999999</v>
          </cell>
          <cell r="T73">
            <v>2762627.23</v>
          </cell>
          <cell r="U73">
            <v>15742455.092522</v>
          </cell>
          <cell r="V73">
            <v>73278817.84000002</v>
          </cell>
          <cell r="W73">
            <v>0</v>
          </cell>
          <cell r="X73">
            <v>17615748.4</v>
          </cell>
          <cell r="Y73">
            <v>25641704.54</v>
          </cell>
          <cell r="Z73">
            <v>0</v>
          </cell>
          <cell r="AA73">
            <v>3188828.479999979</v>
          </cell>
          <cell r="AB73">
            <v>4048765.7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1650617.9999999998</v>
          </cell>
          <cell r="AH73">
            <v>2168382.54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39688857.72</v>
          </cell>
          <cell r="AN73">
            <v>52530518.379999995</v>
          </cell>
          <cell r="AO73">
            <v>0</v>
          </cell>
          <cell r="AP73">
            <v>49500934.08237</v>
          </cell>
          <cell r="AQ73">
            <v>302963812.578622</v>
          </cell>
          <cell r="AR73">
            <v>0</v>
          </cell>
          <cell r="AS73">
            <v>58131622.74058721</v>
          </cell>
          <cell r="AT73">
            <v>741855059.77</v>
          </cell>
          <cell r="AU73">
            <v>130915607.56</v>
          </cell>
          <cell r="AV73">
            <v>13102223.779842</v>
          </cell>
          <cell r="AW73">
            <v>33256390.419999994</v>
          </cell>
          <cell r="AX73">
            <v>0</v>
          </cell>
          <cell r="AY73">
            <v>0</v>
          </cell>
          <cell r="AZ73">
            <v>102985647.500974</v>
          </cell>
          <cell r="BA73">
            <v>0</v>
          </cell>
          <cell r="BB73">
            <v>76366407</v>
          </cell>
          <cell r="BC73">
            <v>0</v>
          </cell>
          <cell r="BD73">
            <v>0</v>
          </cell>
          <cell r="BE73">
            <v>50316660.599999994</v>
          </cell>
          <cell r="BF73">
            <v>63638.64</v>
          </cell>
          <cell r="BG73">
            <v>0</v>
          </cell>
          <cell r="BH73">
            <v>4606785.038497998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41451590.199981675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</row>
        <row r="86">
          <cell r="F86">
            <v>24000000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6721116.523361</v>
          </cell>
          <cell r="S86">
            <v>9534611.899999999</v>
          </cell>
          <cell r="T86">
            <v>2585535.0200000005</v>
          </cell>
          <cell r="U86">
            <v>42650495.64068399</v>
          </cell>
          <cell r="V86">
            <v>68848175.36999999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39688857.72</v>
          </cell>
          <cell r="AN86">
            <v>57173783.97999999</v>
          </cell>
          <cell r="AO86">
            <v>0</v>
          </cell>
          <cell r="AP86">
            <v>104229733.28846075</v>
          </cell>
          <cell r="AQ86">
            <v>319257013.7472242</v>
          </cell>
          <cell r="AR86">
            <v>0</v>
          </cell>
          <cell r="AS86">
            <v>297611201.3201827</v>
          </cell>
          <cell r="AT86">
            <v>664794385.9</v>
          </cell>
          <cell r="AU86">
            <v>117316664.15</v>
          </cell>
          <cell r="AV86">
            <v>24724508.160898004</v>
          </cell>
          <cell r="AW86">
            <v>29408084.21</v>
          </cell>
          <cell r="AX86">
            <v>0</v>
          </cell>
          <cell r="AY86">
            <v>6362641.443932004</v>
          </cell>
          <cell r="AZ86">
            <v>117811619.35</v>
          </cell>
          <cell r="BA86">
            <v>0</v>
          </cell>
          <cell r="BB86">
            <v>79246157.52</v>
          </cell>
          <cell r="BC86">
            <v>792461.5199999999</v>
          </cell>
          <cell r="BD86">
            <v>0</v>
          </cell>
          <cell r="BE86">
            <v>52214131.37999999</v>
          </cell>
          <cell r="BF86">
            <v>0</v>
          </cell>
          <cell r="BG86">
            <v>0</v>
          </cell>
          <cell r="BH86">
            <v>4849762.447151993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43732136.262922615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</row>
        <row r="99">
          <cell r="F99">
            <v>21000000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11480369.575315997</v>
          </cell>
          <cell r="S99">
            <v>8672907.72</v>
          </cell>
          <cell r="T99">
            <v>2382660.68</v>
          </cell>
          <cell r="U99">
            <v>71940966.47399598</v>
          </cell>
          <cell r="V99">
            <v>63711747.18999999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33074049.299999837</v>
          </cell>
          <cell r="AN99">
            <v>51340183.379999995</v>
          </cell>
          <cell r="AO99">
            <v>0</v>
          </cell>
          <cell r="AP99">
            <v>190042445.41712627</v>
          </cell>
          <cell r="AQ99">
            <v>304572115.2713257</v>
          </cell>
          <cell r="AR99">
            <v>0</v>
          </cell>
          <cell r="AS99">
            <v>517184040.6158729</v>
          </cell>
          <cell r="AT99">
            <v>582782761.87</v>
          </cell>
          <cell r="AU99">
            <v>102844023.67</v>
          </cell>
          <cell r="AV99">
            <v>35550619.171128005</v>
          </cell>
          <cell r="AW99">
            <v>25838902.17</v>
          </cell>
          <cell r="AX99">
            <v>0</v>
          </cell>
          <cell r="AY99">
            <v>29652000.401151992</v>
          </cell>
          <cell r="AZ99">
            <v>119910941.25</v>
          </cell>
          <cell r="BA99">
            <v>0</v>
          </cell>
          <cell r="BB99">
            <v>82233625.32000001</v>
          </cell>
          <cell r="BC99">
            <v>822336.2400000001</v>
          </cell>
          <cell r="BD99">
            <v>0</v>
          </cell>
          <cell r="BE99">
            <v>54182510.52000001</v>
          </cell>
          <cell r="BF99">
            <v>0</v>
          </cell>
          <cell r="BG99">
            <v>0</v>
          </cell>
          <cell r="BH99">
            <v>4912150.613327993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45985852.35720338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</row>
        <row r="112">
          <cell r="F112">
            <v>21000000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16500320.808929998</v>
          </cell>
          <cell r="S112">
            <v>7687640.24</v>
          </cell>
          <cell r="T112">
            <v>2149875.38</v>
          </cell>
          <cell r="U112">
            <v>103763973.59758498</v>
          </cell>
          <cell r="V112">
            <v>57599000.42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265367012.37401217</v>
          </cell>
          <cell r="AQ112">
            <v>289847424.9309778</v>
          </cell>
          <cell r="AR112">
            <v>0</v>
          </cell>
          <cell r="AS112">
            <v>720017702.6725044</v>
          </cell>
          <cell r="AT112">
            <v>501351030.15000004</v>
          </cell>
          <cell r="AU112">
            <v>88473717.06</v>
          </cell>
          <cell r="AV112">
            <v>45736895.88754499</v>
          </cell>
          <cell r="AW112">
            <v>22105306.54</v>
          </cell>
          <cell r="AX112">
            <v>0</v>
          </cell>
          <cell r="AY112">
            <v>55923981.35349998</v>
          </cell>
          <cell r="AZ112">
            <v>109385119.47</v>
          </cell>
          <cell r="BA112">
            <v>0</v>
          </cell>
          <cell r="BB112">
            <v>85333874.61</v>
          </cell>
          <cell r="BC112">
            <v>853338.6000000002</v>
          </cell>
          <cell r="BD112">
            <v>0</v>
          </cell>
          <cell r="BE112">
            <v>56225208.539999984</v>
          </cell>
          <cell r="BF112">
            <v>0</v>
          </cell>
          <cell r="BG112">
            <v>0</v>
          </cell>
          <cell r="BH112">
            <v>4912150.613327993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48239568.451484144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</row>
        <row r="125">
          <cell r="F125">
            <v>6440424.934742158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22835374.97</v>
          </cell>
          <cell r="S125">
            <v>6566454.42</v>
          </cell>
          <cell r="T125">
            <v>1884174.6099999999</v>
          </cell>
          <cell r="U125">
            <v>144749990.56</v>
          </cell>
          <cell r="V125">
            <v>50362208.510000005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347146687.15597004</v>
          </cell>
          <cell r="AQ125">
            <v>277044073.03403</v>
          </cell>
          <cell r="AR125">
            <v>0</v>
          </cell>
          <cell r="AS125">
            <v>941259355.5094812</v>
          </cell>
          <cell r="AT125">
            <v>412981408.48</v>
          </cell>
          <cell r="AU125">
            <v>72879076.95</v>
          </cell>
          <cell r="AV125">
            <v>57767917.089999996</v>
          </cell>
          <cell r="AW125">
            <v>18355017.22</v>
          </cell>
          <cell r="AX125">
            <v>0</v>
          </cell>
          <cell r="AY125">
            <v>86706880.46</v>
          </cell>
          <cell r="AZ125">
            <v>104415452.7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4912150.613327993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50507731.443805136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24891649.070000004</v>
          </cell>
          <cell r="S138">
            <v>5295849.96</v>
          </cell>
          <cell r="T138">
            <v>1582274.95</v>
          </cell>
          <cell r="U138">
            <v>159873109.17000002</v>
          </cell>
          <cell r="V138">
            <v>41896800.41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359602935.4627748</v>
          </cell>
          <cell r="AQ138">
            <v>263057749.01722515</v>
          </cell>
          <cell r="AR138">
            <v>0</v>
          </cell>
          <cell r="AS138">
            <v>941259355.5084813</v>
          </cell>
          <cell r="AT138">
            <v>324611786.69000006</v>
          </cell>
          <cell r="AU138">
            <v>57284436.75</v>
          </cell>
          <cell r="AV138">
            <v>58345537.800000004</v>
          </cell>
          <cell r="AW138">
            <v>14480909.86</v>
          </cell>
          <cell r="AX138">
            <v>0</v>
          </cell>
          <cell r="AY138">
            <v>89665487.98000002</v>
          </cell>
          <cell r="AZ138">
            <v>98979225.94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4912150.613327993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52786213.649012044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27086493.560000002</v>
          </cell>
          <cell r="S151">
            <v>3861193.4900000007</v>
          </cell>
          <cell r="T151">
            <v>1240608.26</v>
          </cell>
          <cell r="U151">
            <v>176576268.9</v>
          </cell>
          <cell r="V151">
            <v>32078548.060000002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372956967.59315604</v>
          </cell>
          <cell r="AQ151">
            <v>249739724.58684394</v>
          </cell>
          <cell r="AR151">
            <v>0</v>
          </cell>
          <cell r="AS151">
            <v>941259355.4994813</v>
          </cell>
          <cell r="AT151">
            <v>236242164.97</v>
          </cell>
          <cell r="AU151">
            <v>41689796.59</v>
          </cell>
          <cell r="AV151">
            <v>58929028.46000001</v>
          </cell>
          <cell r="AW151">
            <v>10402771.9</v>
          </cell>
          <cell r="AX151">
            <v>0</v>
          </cell>
          <cell r="AY151">
            <v>92725030.21</v>
          </cell>
          <cell r="AZ151">
            <v>93050419.39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4912150.613327993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55064695.85421895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26088302.82</v>
          </cell>
          <cell r="S164">
            <v>2313994.75</v>
          </cell>
          <cell r="T164">
            <v>866525.45</v>
          </cell>
          <cell r="U164">
            <v>195024510.14</v>
          </cell>
          <cell r="V164">
            <v>20750118.11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387283886.95</v>
          </cell>
          <cell r="AQ164">
            <v>235770471.25</v>
          </cell>
          <cell r="AR164">
            <v>0</v>
          </cell>
          <cell r="AS164">
            <v>941259355.5</v>
          </cell>
          <cell r="AT164">
            <v>147872543.23</v>
          </cell>
          <cell r="AU164">
            <v>26095156.43</v>
          </cell>
          <cell r="AV164">
            <v>59518367.07</v>
          </cell>
          <cell r="AW164">
            <v>6377974.530000001</v>
          </cell>
          <cell r="AX164">
            <v>0</v>
          </cell>
          <cell r="AY164">
            <v>95889069.75999999</v>
          </cell>
          <cell r="AZ164">
            <v>86601860.43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4912150.613327993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57343178.05942583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12042598.6</v>
          </cell>
          <cell r="S177">
            <v>1094977.65</v>
          </cell>
          <cell r="T177">
            <v>532132.35</v>
          </cell>
          <cell r="U177">
            <v>215400128.26</v>
          </cell>
          <cell r="V177">
            <v>7737205.920000001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402665482.15000004</v>
          </cell>
          <cell r="AQ177">
            <v>221838241.77</v>
          </cell>
          <cell r="AR177">
            <v>0</v>
          </cell>
          <cell r="AS177">
            <v>674563424.39</v>
          </cell>
          <cell r="AT177">
            <v>59502921.510000005</v>
          </cell>
          <cell r="AU177">
            <v>10500516.22</v>
          </cell>
          <cell r="AV177">
            <v>60113575.69000001</v>
          </cell>
          <cell r="AW177">
            <v>2279600.97</v>
          </cell>
          <cell r="AX177">
            <v>0</v>
          </cell>
          <cell r="AY177">
            <v>99161000.50999999</v>
          </cell>
          <cell r="AZ177">
            <v>79604810.57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4912150.613327993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34502402.941930786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8109857.300000001</v>
          </cell>
          <cell r="S190">
            <v>605797.5</v>
          </cell>
          <cell r="T190">
            <v>302898.74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419190524.65999997</v>
          </cell>
          <cell r="AQ190">
            <v>206417488.85</v>
          </cell>
          <cell r="AR190">
            <v>0</v>
          </cell>
          <cell r="AS190">
            <v>203933746.64</v>
          </cell>
          <cell r="AT190">
            <v>9352629.03</v>
          </cell>
          <cell r="AU190">
            <v>1650464.04</v>
          </cell>
          <cell r="AV190">
            <v>0</v>
          </cell>
          <cell r="AW190">
            <v>0</v>
          </cell>
          <cell r="AX190">
            <v>0</v>
          </cell>
          <cell r="AY190">
            <v>102544541.33</v>
          </cell>
          <cell r="AZ190">
            <v>72029397.25999999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4912150.613327993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5808337.24</v>
          </cell>
          <cell r="S203">
            <v>131106.25</v>
          </cell>
          <cell r="T203">
            <v>65553.12999999999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436956105.00000006</v>
          </cell>
          <cell r="AQ203">
            <v>190983129.14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106043567.35</v>
          </cell>
          <cell r="AZ203">
            <v>63844348.96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916162.8829681242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456066472.37</v>
          </cell>
          <cell r="AQ216">
            <v>175032633.48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109662034.96000001</v>
          </cell>
          <cell r="AZ216">
            <v>55016879.39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476636507.9800001</v>
          </cell>
          <cell r="AQ229">
            <v>159324446.14000002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113403950.53999999</v>
          </cell>
          <cell r="AZ229">
            <v>45512633.87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498789775.07</v>
          </cell>
          <cell r="AQ242">
            <v>141665355.78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117273558</v>
          </cell>
          <cell r="AZ242">
            <v>35295720.94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522658897.43</v>
          </cell>
          <cell r="AQ255">
            <v>124068823.48000002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121275169.97</v>
          </cell>
          <cell r="AZ255">
            <v>24328559.14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548390613.04</v>
          </cell>
          <cell r="AQ268">
            <v>105768590.38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125298803.05</v>
          </cell>
          <cell r="AZ268">
            <v>12571857.08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576143566.41</v>
          </cell>
          <cell r="AQ281">
            <v>86790790.19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606090843.6700001</v>
          </cell>
          <cell r="AQ294">
            <v>66665735.7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638417646.2099999</v>
          </cell>
          <cell r="AQ307">
            <v>45799463.260000005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673326339.3399999</v>
          </cell>
          <cell r="AQ320">
            <v>23950135.65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384920805.26</v>
          </cell>
          <cell r="AQ333">
            <v>3592425.54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</sheetData>
      <sheetData sheetId="3">
        <row r="73">
          <cell r="C73">
            <v>0</v>
          </cell>
          <cell r="D73">
            <v>0</v>
          </cell>
          <cell r="E73">
            <v>0</v>
          </cell>
          <cell r="F73">
            <v>26650981.96229754</v>
          </cell>
          <cell r="G73">
            <v>25210272.413599998</v>
          </cell>
          <cell r="H73">
            <v>0</v>
          </cell>
          <cell r="I73">
            <v>53588433.773681566</v>
          </cell>
          <cell r="J73">
            <v>31611108.3976</v>
          </cell>
          <cell r="K73">
            <v>0</v>
          </cell>
          <cell r="L73">
            <v>31960722.352419935</v>
          </cell>
          <cell r="M73">
            <v>607719182.5098672</v>
          </cell>
          <cell r="N73">
            <v>0</v>
          </cell>
          <cell r="O73">
            <v>16643043.969696235</v>
          </cell>
          <cell r="P73">
            <v>15179915.869199999</v>
          </cell>
          <cell r="Q73">
            <v>0</v>
          </cell>
          <cell r="R73">
            <v>22756297.45426042</v>
          </cell>
          <cell r="S73">
            <v>1540033.6008249999</v>
          </cell>
          <cell r="T73">
            <v>0</v>
          </cell>
          <cell r="U73">
            <v>23483289.48213309</v>
          </cell>
          <cell r="V73">
            <v>58425453.2605</v>
          </cell>
          <cell r="W73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40740459.21153</v>
          </cell>
          <cell r="G86">
            <v>18694146.75</v>
          </cell>
          <cell r="H86">
            <v>0</v>
          </cell>
          <cell r="I86">
            <v>46529941.03283628</v>
          </cell>
          <cell r="J86">
            <v>20951247</v>
          </cell>
          <cell r="K86">
            <v>0</v>
          </cell>
          <cell r="L86">
            <v>150146749.77045244</v>
          </cell>
          <cell r="M86">
            <v>609763765.9248773</v>
          </cell>
          <cell r="N86">
            <v>0</v>
          </cell>
          <cell r="O86">
            <v>25264303.667044997</v>
          </cell>
          <cell r="P86">
            <v>11254838.65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42611591.079795</v>
          </cell>
          <cell r="V86">
            <v>54124956.15</v>
          </cell>
          <cell r="W86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53328298.42529279</v>
          </cell>
          <cell r="G99">
            <v>11989738.303199999</v>
          </cell>
          <cell r="H99">
            <v>0</v>
          </cell>
          <cell r="I99">
            <v>60798032.37221116</v>
          </cell>
          <cell r="J99">
            <v>13439272.644000001</v>
          </cell>
          <cell r="K99">
            <v>0</v>
          </cell>
          <cell r="L99">
            <v>295258475.6951281</v>
          </cell>
          <cell r="M99">
            <v>578092891.0556462</v>
          </cell>
          <cell r="N99">
            <v>0</v>
          </cell>
          <cell r="O99">
            <v>32979477.4322832</v>
          </cell>
          <cell r="P99">
            <v>7216382.628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61152670.92749471</v>
          </cell>
          <cell r="V99">
            <v>50278210.7688</v>
          </cell>
          <cell r="W99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64829969.213379</v>
          </cell>
          <cell r="G112">
            <v>5196916.881</v>
          </cell>
          <cell r="H112">
            <v>0</v>
          </cell>
          <cell r="I112">
            <v>73856379.13003616</v>
          </cell>
          <cell r="J112">
            <v>5828255.979</v>
          </cell>
          <cell r="K112">
            <v>0</v>
          </cell>
          <cell r="L112">
            <v>437613413.59159917</v>
          </cell>
          <cell r="M112">
            <v>547958753.6886235</v>
          </cell>
          <cell r="N112">
            <v>0</v>
          </cell>
          <cell r="O112">
            <v>40046318.403888</v>
          </cell>
          <cell r="P112">
            <v>3124648.4159999997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79335254.64508498</v>
          </cell>
          <cell r="V112">
            <v>46546066.47</v>
          </cell>
          <cell r="W112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604195074.954</v>
          </cell>
          <cell r="M125">
            <v>510933011.81274813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100597499.99999999</v>
          </cell>
          <cell r="V125">
            <v>42334021.146</v>
          </cell>
          <cell r="W125">
            <v>0</v>
          </cell>
        </row>
        <row r="138">
          <cell r="C138">
            <v>8502012.55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604195074.852</v>
          </cell>
          <cell r="M138">
            <v>473755675.8028726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100597499.99999999</v>
          </cell>
          <cell r="V138">
            <v>37884677.616</v>
          </cell>
          <cell r="W138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1112107261.73592</v>
          </cell>
          <cell r="M151">
            <v>428456543.89299715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100597499.99999999</v>
          </cell>
          <cell r="V151">
            <v>33553983.137999997</v>
          </cell>
          <cell r="W151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933177449.55</v>
          </cell>
          <cell r="M164">
            <v>361843928.08412164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100597500</v>
          </cell>
          <cell r="V164">
            <v>29223288.711</v>
          </cell>
          <cell r="W164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843795302.9399998</v>
          </cell>
          <cell r="M177">
            <v>305181396.36324614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100597500</v>
          </cell>
          <cell r="V177">
            <v>24963783.807</v>
          </cell>
          <cell r="W177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755697032.7269999</v>
          </cell>
          <cell r="M190">
            <v>254109340.41214466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100597500</v>
          </cell>
          <cell r="V190">
            <v>20561899.857</v>
          </cell>
          <cell r="W190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669329689.407</v>
          </cell>
          <cell r="M203">
            <v>208714771.3784529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100597500</v>
          </cell>
          <cell r="V203">
            <v>16231205.43</v>
          </cell>
          <cell r="W203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623757164.6399999</v>
          </cell>
          <cell r="M216">
            <v>168136039.54730254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100597500</v>
          </cell>
          <cell r="V216">
            <v>11900511.002999999</v>
          </cell>
          <cell r="W216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582678403.6379999</v>
          </cell>
          <cell r="M229">
            <v>129849539.14141431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100597500</v>
          </cell>
          <cell r="V229">
            <v>7593546.416999999</v>
          </cell>
          <cell r="W229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494234644.9919999</v>
          </cell>
          <cell r="M242">
            <v>95767804.34036955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100597499.99999999</v>
          </cell>
          <cell r="V242">
            <v>3239122.0979999998</v>
          </cell>
          <cell r="W242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472012375.11</v>
          </cell>
          <cell r="M255">
            <v>65851566.58254456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420429263.244</v>
          </cell>
          <cell r="M268">
            <v>36614526.730257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196968750.71699998</v>
          </cell>
          <cell r="M281">
            <v>15028825.094999999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96253937.86500086</v>
          </cell>
          <cell r="M294">
            <v>4460676.75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A"/>
    </sheetNames>
    <sheetDataSet>
      <sheetData sheetId="0">
        <row r="16">
          <cell r="C16">
            <v>626988.74</v>
          </cell>
          <cell r="D16">
            <v>1359855.6999999997</v>
          </cell>
        </row>
        <row r="25">
          <cell r="C25">
            <v>903646.1299999999</v>
          </cell>
          <cell r="D25">
            <v>595265.4200000002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A"/>
    </sheetNames>
    <sheetDataSet>
      <sheetData sheetId="0">
        <row r="10">
          <cell r="D10">
            <v>3334219.9000000004</v>
          </cell>
        </row>
        <row r="12">
          <cell r="C12">
            <v>0</v>
          </cell>
        </row>
        <row r="15">
          <cell r="C15">
            <v>895963.62</v>
          </cell>
        </row>
        <row r="25">
          <cell r="C25">
            <v>1219447.76</v>
          </cell>
        </row>
        <row r="48">
          <cell r="C4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RMAL"/>
      <sheetName val="INTRA"/>
      <sheetName val="Plan2"/>
      <sheetName val="Plan3"/>
    </sheetNames>
    <sheetDataSet>
      <sheetData sheetId="1">
        <row r="39">
          <cell r="N39">
            <v>18539019.7</v>
          </cell>
          <cell r="O39">
            <v>68165855.88</v>
          </cell>
        </row>
        <row r="41">
          <cell r="N41">
            <v>1258483374.3200002</v>
          </cell>
          <cell r="O41">
            <v>64393696.46000001</v>
          </cell>
        </row>
        <row r="42">
          <cell r="N42">
            <v>4449981.48</v>
          </cell>
          <cell r="O42">
            <v>5174648.720000001</v>
          </cell>
        </row>
        <row r="43">
          <cell r="N43">
            <v>595668573.22</v>
          </cell>
          <cell r="O43">
            <v>234595832.29</v>
          </cell>
        </row>
        <row r="47">
          <cell r="N47">
            <v>27036748.17</v>
          </cell>
          <cell r="O47">
            <v>92833155.48</v>
          </cell>
        </row>
        <row r="48">
          <cell r="N48">
            <v>2213968.29</v>
          </cell>
          <cell r="O48">
            <v>3861056.2199999997</v>
          </cell>
        </row>
        <row r="49">
          <cell r="N49">
            <v>81666643.37</v>
          </cell>
          <cell r="O49">
            <v>92307606.89000002</v>
          </cell>
        </row>
        <row r="51">
          <cell r="O51">
            <v>9897374.75</v>
          </cell>
        </row>
        <row r="52">
          <cell r="O52">
            <v>9807592.780000001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O_08"/>
      <sheetName val="ANO_09"/>
    </sheetNames>
    <sheetDataSet>
      <sheetData sheetId="0">
        <row r="77">
          <cell r="N77">
            <v>20842118.27349996</v>
          </cell>
          <cell r="O77">
            <v>1360917908.94</v>
          </cell>
        </row>
        <row r="78">
          <cell r="N78">
            <v>277283720.66999996</v>
          </cell>
          <cell r="O78">
            <v>646808265.28</v>
          </cell>
        </row>
        <row r="79">
          <cell r="N79">
            <v>5370627.640000001</v>
          </cell>
          <cell r="O79">
            <v>3790624.57</v>
          </cell>
        </row>
        <row r="80">
          <cell r="N80">
            <v>64425212.77000001</v>
          </cell>
          <cell r="O80">
            <v>48817881.39</v>
          </cell>
        </row>
        <row r="81">
          <cell r="N81">
            <v>48113618.08</v>
          </cell>
          <cell r="O81">
            <v>11671038.61</v>
          </cell>
        </row>
        <row r="82">
          <cell r="N82">
            <v>1782524.96</v>
          </cell>
          <cell r="O82">
            <v>460079.21</v>
          </cell>
        </row>
        <row r="83">
          <cell r="N83">
            <v>70616011.15</v>
          </cell>
          <cell r="O83">
            <v>10928086.41</v>
          </cell>
        </row>
        <row r="86">
          <cell r="N86">
            <v>92833155.47999999</v>
          </cell>
          <cell r="O86">
            <v>16743102.23</v>
          </cell>
        </row>
        <row r="87">
          <cell r="N87">
            <v>94433706</v>
          </cell>
          <cell r="O87">
            <v>82246976.72</v>
          </cell>
        </row>
        <row r="88">
          <cell r="N88">
            <v>0</v>
          </cell>
          <cell r="O88">
            <v>110778.86</v>
          </cell>
        </row>
        <row r="89">
          <cell r="N89">
            <v>3139509.3899999997</v>
          </cell>
          <cell r="O89">
            <v>1636100.35</v>
          </cell>
        </row>
        <row r="90">
          <cell r="N90">
            <v>9594158.29</v>
          </cell>
          <cell r="O90">
            <v>0</v>
          </cell>
        </row>
        <row r="91">
          <cell r="N91">
            <v>14446088.319999998</v>
          </cell>
          <cell r="O91">
            <v>0</v>
          </cell>
        </row>
        <row r="96">
          <cell r="N96">
            <v>43984553.349999994</v>
          </cell>
          <cell r="O96">
            <v>7105879.42</v>
          </cell>
        </row>
        <row r="97">
          <cell r="N97">
            <v>23081389.89</v>
          </cell>
          <cell r="O97">
            <v>16921026.560000002</v>
          </cell>
        </row>
        <row r="98">
          <cell r="N98">
            <v>15373403.83</v>
          </cell>
          <cell r="O98">
            <v>14454811.74</v>
          </cell>
        </row>
        <row r="99">
          <cell r="N99">
            <v>5587108.91</v>
          </cell>
          <cell r="O99">
            <v>1886503.35</v>
          </cell>
        </row>
        <row r="100">
          <cell r="N100">
            <v>38985422.67</v>
          </cell>
          <cell r="O100">
            <v>18117505.009999998</v>
          </cell>
        </row>
        <row r="101">
          <cell r="N101">
            <v>30783756</v>
          </cell>
          <cell r="O101">
            <v>16002491.35</v>
          </cell>
        </row>
        <row r="133">
          <cell r="N133">
            <v>8514170.22</v>
          </cell>
          <cell r="O133">
            <v>4707353.25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ANO_07"/>
      <sheetName val="ANO_08"/>
      <sheetName val="ANO_09"/>
      <sheetName val="ANO_10"/>
      <sheetName val="ANO_11"/>
      <sheetName val="ANO_12"/>
      <sheetName val="ANO_10_CM"/>
      <sheetName val="ANO_11_CM"/>
      <sheetName val="ANO_12_CM"/>
      <sheetName val="ANO_09_CM"/>
      <sheetName val="CronDivFinCorrente"/>
      <sheetName val="CronDivConsolidadaCorrente"/>
      <sheetName val="CronDivFinConstante"/>
      <sheetName val="CronDivConsolidadaConstante"/>
      <sheetName val="EstoqueDivConsolidadaConstante"/>
      <sheetName val="(-)RLR+IGPDI"/>
      <sheetName val="EstoqueDivFinConstante"/>
      <sheetName val="EstoqueDivFinCorrente"/>
      <sheetName val="EstoqueDivConsolidadaCorrente"/>
      <sheetName val="2008_dia_dia"/>
      <sheetName val="Lei_9496_2008"/>
      <sheetName val="Lei_9496_2009"/>
      <sheetName val="Lei_9496_2010"/>
    </sheetNames>
    <sheetDataSet>
      <sheetData sheetId="3">
        <row r="76">
          <cell r="N76">
            <v>302016103.64184135</v>
          </cell>
          <cell r="O76">
            <v>1398663489.7406917</v>
          </cell>
        </row>
        <row r="77">
          <cell r="N77">
            <v>307682633.63</v>
          </cell>
          <cell r="O77">
            <v>658665118.5</v>
          </cell>
        </row>
        <row r="78">
          <cell r="N78">
            <v>4773367.87</v>
          </cell>
          <cell r="O78">
            <v>3284035.6399999997</v>
          </cell>
        </row>
        <row r="79">
          <cell r="N79">
            <v>71968528.87</v>
          </cell>
          <cell r="O79">
            <v>42813567.58</v>
          </cell>
        </row>
        <row r="80">
          <cell r="N80">
            <v>60614796.42</v>
          </cell>
          <cell r="O80">
            <v>10485323.54</v>
          </cell>
        </row>
        <row r="81">
          <cell r="N81">
            <v>1869866.42</v>
          </cell>
          <cell r="O81">
            <v>407144.5900000001</v>
          </cell>
        </row>
        <row r="82">
          <cell r="N82">
            <v>69287116.43</v>
          </cell>
          <cell r="O82">
            <v>4260978.67</v>
          </cell>
        </row>
        <row r="85">
          <cell r="N85">
            <v>92833155.47</v>
          </cell>
          <cell r="O85">
            <v>5156411.310000038</v>
          </cell>
        </row>
        <row r="86">
          <cell r="N86">
            <v>94961290.85999998</v>
          </cell>
          <cell r="O86">
            <v>81776434.21000001</v>
          </cell>
        </row>
        <row r="87">
          <cell r="N87">
            <v>0</v>
          </cell>
          <cell r="O87">
            <v>598461.44</v>
          </cell>
        </row>
        <row r="88">
          <cell r="N88">
            <v>0</v>
          </cell>
          <cell r="O88">
            <v>0</v>
          </cell>
        </row>
        <row r="89">
          <cell r="N89">
            <v>4035741.51</v>
          </cell>
          <cell r="O89">
            <v>1624819.39</v>
          </cell>
        </row>
        <row r="90">
          <cell r="N90">
            <v>0</v>
          </cell>
          <cell r="O90">
            <v>0</v>
          </cell>
        </row>
        <row r="91">
          <cell r="N91">
            <v>0</v>
          </cell>
          <cell r="O91">
            <v>1121942.8800000001</v>
          </cell>
        </row>
        <row r="92">
          <cell r="N92">
            <v>10595489.36</v>
          </cell>
          <cell r="O92">
            <v>0</v>
          </cell>
        </row>
        <row r="93">
          <cell r="N93">
            <v>14168053.5</v>
          </cell>
          <cell r="O93">
            <v>0</v>
          </cell>
        </row>
        <row r="98">
          <cell r="N98">
            <v>43374734.74</v>
          </cell>
          <cell r="O98">
            <v>4606279.91</v>
          </cell>
        </row>
        <row r="99">
          <cell r="N99">
            <v>32538362.65</v>
          </cell>
          <cell r="O99">
            <v>19571036.8</v>
          </cell>
        </row>
        <row r="100">
          <cell r="N100">
            <v>19174082.5</v>
          </cell>
          <cell r="O100">
            <v>15108564.620000001</v>
          </cell>
        </row>
        <row r="101">
          <cell r="N101">
            <v>6868714.49</v>
          </cell>
          <cell r="O101">
            <v>2114078.81</v>
          </cell>
        </row>
        <row r="102">
          <cell r="N102">
            <v>44782683.150000006</v>
          </cell>
          <cell r="O102">
            <v>20579404.82</v>
          </cell>
        </row>
        <row r="103">
          <cell r="N103">
            <v>36812950.2</v>
          </cell>
          <cell r="O103">
            <v>17415438.25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0"/>
      <sheetName val="2001"/>
      <sheetName val="2002"/>
      <sheetName val="2003"/>
      <sheetName val="2004"/>
      <sheetName val="2005"/>
      <sheetName val="2006"/>
      <sheetName val="2007"/>
    </sheetNames>
    <sheetDataSet>
      <sheetData sheetId="6">
        <row r="57">
          <cell r="N57">
            <v>127829.45999999999</v>
          </cell>
        </row>
        <row r="62">
          <cell r="N62">
            <v>23808389.060000002</v>
          </cell>
          <cell r="O62">
            <v>43026802.05</v>
          </cell>
        </row>
        <row r="63">
          <cell r="N63">
            <v>2776321.65</v>
          </cell>
          <cell r="O63">
            <v>7093431.7</v>
          </cell>
        </row>
        <row r="64">
          <cell r="N64">
            <v>16884845.09</v>
          </cell>
          <cell r="O64">
            <v>31049601</v>
          </cell>
        </row>
        <row r="65">
          <cell r="N65">
            <v>13433833.620000001</v>
          </cell>
          <cell r="O65">
            <v>47687815.47</v>
          </cell>
        </row>
        <row r="66">
          <cell r="N66">
            <v>11833059.629999999</v>
          </cell>
          <cell r="O66">
            <v>12630477.469999999</v>
          </cell>
        </row>
        <row r="67">
          <cell r="N67">
            <v>14264566.43</v>
          </cell>
          <cell r="O67">
            <v>14882097.879999999</v>
          </cell>
        </row>
      </sheetData>
      <sheetData sheetId="7">
        <row r="62">
          <cell r="N62">
            <v>21061436.61</v>
          </cell>
          <cell r="O62">
            <v>41880294.89</v>
          </cell>
        </row>
        <row r="63">
          <cell r="N63">
            <v>2442191.5199999996</v>
          </cell>
          <cell r="O63">
            <v>6643671.140000001</v>
          </cell>
        </row>
        <row r="64">
          <cell r="N64">
            <v>16487138.3</v>
          </cell>
          <cell r="O64">
            <v>29489940.57</v>
          </cell>
        </row>
        <row r="65">
          <cell r="N65">
            <v>9589596.6</v>
          </cell>
          <cell r="O65">
            <v>42886879.05</v>
          </cell>
        </row>
        <row r="66">
          <cell r="N66">
            <v>16031926.34</v>
          </cell>
          <cell r="O66">
            <v>16909116.32</v>
          </cell>
        </row>
        <row r="67">
          <cell r="N67">
            <v>16202135.81</v>
          </cell>
          <cell r="O67">
            <v>16574686.86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"/>
      <sheetName val="2001"/>
      <sheetName val="2002"/>
      <sheetName val="2003"/>
      <sheetName val="2004"/>
      <sheetName val="2005"/>
      <sheetName val="2006"/>
      <sheetName val="2007"/>
    </sheetNames>
    <sheetDataSet>
      <sheetData sheetId="6">
        <row r="17">
          <cell r="N17">
            <v>7602953.649999999</v>
          </cell>
          <cell r="O17">
            <v>4521337.39</v>
          </cell>
        </row>
      </sheetData>
      <sheetData sheetId="7">
        <row r="16">
          <cell r="N16">
            <v>4469551.57</v>
          </cell>
          <cell r="O16">
            <v>3827776.1700000004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 IV-DEZ2009"/>
    </sheetNames>
    <sheetDataSet>
      <sheetData sheetId="0">
        <row r="10">
          <cell r="D10">
            <v>10281426.120000001</v>
          </cell>
          <cell r="E10">
            <v>4483296.96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RONO_2043"/>
      <sheetName val="COMPR.ANUAL2043"/>
      <sheetName val="Plan1"/>
      <sheetName val="COMPR.ANUAL2039"/>
    </sheetNames>
    <sheetDataSet>
      <sheetData sheetId="1">
        <row r="8">
          <cell r="BH8">
            <v>0</v>
          </cell>
          <cell r="BI8">
            <v>0</v>
          </cell>
          <cell r="BJ8">
            <v>0</v>
          </cell>
          <cell r="BK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RONO_2043"/>
      <sheetName val="COMPR.ANUAL2043"/>
      <sheetName val="Plan1"/>
    </sheetNames>
    <sheetDataSet>
      <sheetData sheetId="1">
        <row r="8">
          <cell r="L8">
            <v>5575819.4267534</v>
          </cell>
          <cell r="M8">
            <v>3177740.43327</v>
          </cell>
          <cell r="N8">
            <v>5860394.1986327</v>
          </cell>
          <cell r="O8">
            <v>2917325.77894</v>
          </cell>
          <cell r="P8">
            <v>6199421.363902001</v>
          </cell>
          <cell r="Q8">
            <v>2640309.30932</v>
          </cell>
          <cell r="R8">
            <v>5747135.164825216</v>
          </cell>
          <cell r="S8">
            <v>2344930.9687799998</v>
          </cell>
          <cell r="T8">
            <v>6026175.9725140175</v>
          </cell>
          <cell r="U8">
            <v>2002468.18715</v>
          </cell>
          <cell r="V8">
            <v>6434120.548761817</v>
          </cell>
          <cell r="W8">
            <v>1688986.37543</v>
          </cell>
          <cell r="X8">
            <v>6851086.437493317</v>
          </cell>
          <cell r="Y8">
            <v>1360177.64216</v>
          </cell>
          <cell r="Z8">
            <v>6979125.528704316</v>
          </cell>
          <cell r="AA8">
            <v>1027052.8252500001</v>
          </cell>
          <cell r="AB8">
            <v>7904340.101333851</v>
          </cell>
          <cell r="AC8">
            <v>1224315.066591649</v>
          </cell>
          <cell r="AD8">
            <v>5847871.651258477</v>
          </cell>
          <cell r="AE8">
            <v>3254270.609121521</v>
          </cell>
          <cell r="AF8">
            <v>5929347.529408877</v>
          </cell>
          <cell r="AG8">
            <v>2955760.4999311226</v>
          </cell>
          <cell r="AH8">
            <v>5878091.304227991</v>
          </cell>
          <cell r="AI8">
            <v>2613625.8293120093</v>
          </cell>
          <cell r="AJ8">
            <v>5539475.084376136</v>
          </cell>
          <cell r="AK8">
            <v>2240599.1633438636</v>
          </cell>
          <cell r="AL8">
            <v>5565401.801080285</v>
          </cell>
          <cell r="AM8">
            <v>1914530.1990797147</v>
          </cell>
          <cell r="AN8">
            <v>5749299.135482674</v>
          </cell>
          <cell r="AO8">
            <v>1603590.6690373253</v>
          </cell>
          <cell r="AP8">
            <v>5990131.187470798</v>
          </cell>
          <cell r="AQ8">
            <v>1283313.0520092023</v>
          </cell>
          <cell r="AR8">
            <v>6190971.205353492</v>
          </cell>
          <cell r="AS8">
            <v>938958.1136765081</v>
          </cell>
          <cell r="AT8">
            <v>6438560.389543133</v>
          </cell>
          <cell r="AU8">
            <v>581154.7739568655</v>
          </cell>
          <cell r="AV8">
            <v>5552960.922054104</v>
          </cell>
          <cell r="AW8">
            <v>208578.0425725027</v>
          </cell>
          <cell r="AX8">
            <v>403681.99204000004</v>
          </cell>
          <cell r="AY8">
            <v>47436.60482</v>
          </cell>
          <cell r="AZ8">
            <v>335556.29844000004</v>
          </cell>
          <cell r="BA8">
            <v>30906.924689999993</v>
          </cell>
          <cell r="BB8">
            <v>250252.52244000003</v>
          </cell>
          <cell r="BC8">
            <v>15337.22562</v>
          </cell>
          <cell r="BD8">
            <v>126756.02620000001</v>
          </cell>
          <cell r="BE8">
            <v>2151.90085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40"/>
  <sheetViews>
    <sheetView showGridLines="0" zoomScale="90" zoomScaleNormal="90" zoomScalePageLayoutView="0" workbookViewId="0" topLeftCell="A10">
      <pane xSplit="1" ySplit="8" topLeftCell="CJ52" activePane="bottomRight" state="frozen"/>
      <selection pane="topLeft" activeCell="A10" sqref="A10"/>
      <selection pane="topRight" activeCell="B10" sqref="B10"/>
      <selection pane="bottomLeft" activeCell="A18" sqref="A18"/>
      <selection pane="bottomRight" activeCell="CF138" sqref="CF138"/>
    </sheetView>
  </sheetViews>
  <sheetFormatPr defaultColWidth="9.140625" defaultRowHeight="15"/>
  <cols>
    <col min="1" max="1" width="47.140625" style="0" customWidth="1"/>
    <col min="2" max="35" width="13.28125" style="0" customWidth="1"/>
    <col min="36" max="36" width="16.421875" style="0" customWidth="1"/>
    <col min="37" max="37" width="13.7109375" style="0" customWidth="1"/>
    <col min="38" max="38" width="13.28125" style="0" customWidth="1"/>
    <col min="39" max="39" width="16.421875" style="0" customWidth="1"/>
    <col min="40" max="40" width="13.57421875" style="0" customWidth="1"/>
    <col min="41" max="41" width="12.7109375" style="0" customWidth="1"/>
    <col min="42" max="42" width="16.57421875" style="0" customWidth="1"/>
    <col min="43" max="43" width="14.7109375" style="0" customWidth="1"/>
    <col min="44" max="44" width="13.28125" style="0" customWidth="1"/>
    <col min="45" max="45" width="16.57421875" style="0" customWidth="1"/>
    <col min="46" max="46" width="14.7109375" style="0" customWidth="1"/>
    <col min="47" max="47" width="14.57421875" style="0" customWidth="1"/>
    <col min="48" max="48" width="16.00390625" style="0" customWidth="1"/>
    <col min="49" max="49" width="14.7109375" style="0" customWidth="1"/>
    <col min="50" max="50" width="13.421875" style="0" customWidth="1"/>
    <col min="51" max="51" width="16.7109375" style="0" customWidth="1"/>
    <col min="52" max="52" width="17.140625" style="0" customWidth="1"/>
    <col min="53" max="53" width="13.421875" style="0" customWidth="1"/>
    <col min="54" max="54" width="16.7109375" style="0" customWidth="1"/>
    <col min="55" max="55" width="17.140625" style="0" customWidth="1"/>
    <col min="56" max="56" width="15.421875" style="0" customWidth="1"/>
    <col min="57" max="57" width="16.421875" style="0" customWidth="1"/>
    <col min="58" max="58" width="15.7109375" style="0" customWidth="1"/>
    <col min="59" max="59" width="15.140625" style="0" customWidth="1"/>
    <col min="60" max="60" width="16.421875" style="0" customWidth="1"/>
    <col min="61" max="61" width="15.7109375" style="0" customWidth="1"/>
    <col min="62" max="62" width="13.28125" style="0" bestFit="1" customWidth="1"/>
    <col min="63" max="63" width="16.7109375" style="0" bestFit="1" customWidth="1"/>
    <col min="64" max="64" width="13.28125" style="0" bestFit="1" customWidth="1"/>
    <col min="65" max="65" width="14.140625" style="0" customWidth="1"/>
    <col min="66" max="66" width="16.7109375" style="0" bestFit="1" customWidth="1"/>
    <col min="67" max="67" width="13.421875" style="0" bestFit="1" customWidth="1"/>
    <col min="68" max="68" width="12.28125" style="0" bestFit="1" customWidth="1"/>
    <col min="69" max="69" width="16.7109375" style="0" bestFit="1" customWidth="1"/>
    <col min="70" max="70" width="13.421875" style="0" bestFit="1" customWidth="1"/>
    <col min="71" max="71" width="13.28125" style="0" bestFit="1" customWidth="1"/>
    <col min="72" max="72" width="16.7109375" style="0" bestFit="1" customWidth="1"/>
    <col min="73" max="74" width="13.28125" style="0" bestFit="1" customWidth="1"/>
    <col min="75" max="75" width="16.7109375" style="0" bestFit="1" customWidth="1"/>
    <col min="76" max="76" width="13.28125" style="0" bestFit="1" customWidth="1"/>
    <col min="77" max="77" width="13.421875" style="0" customWidth="1"/>
    <col min="78" max="78" width="16.7109375" style="0" bestFit="1" customWidth="1"/>
    <col min="79" max="79" width="12.28125" style="0" bestFit="1" customWidth="1"/>
    <col min="80" max="80" width="10.8515625" style="0" bestFit="1" customWidth="1"/>
    <col min="81" max="81" width="16.7109375" style="0" bestFit="1" customWidth="1"/>
    <col min="82" max="83" width="10.8515625" style="0" bestFit="1" customWidth="1"/>
    <col min="84" max="84" width="16.7109375" style="0" bestFit="1" customWidth="1"/>
    <col min="85" max="85" width="12.28125" style="0" bestFit="1" customWidth="1"/>
    <col min="86" max="86" width="13.28125" style="0" bestFit="1" customWidth="1"/>
    <col min="87" max="87" width="16.7109375" style="0" bestFit="1" customWidth="1"/>
    <col min="88" max="88" width="12.28125" style="0" bestFit="1" customWidth="1"/>
    <col min="89" max="89" width="14.57421875" style="0" customWidth="1"/>
    <col min="90" max="90" width="17.140625" style="0" customWidth="1"/>
    <col min="91" max="91" width="15.28125" style="0" customWidth="1"/>
  </cols>
  <sheetData>
    <row r="1" spans="38:42" ht="15">
      <c r="AL1" s="1"/>
      <c r="AM1" s="33"/>
      <c r="AN1" s="33"/>
      <c r="AO1" s="9"/>
      <c r="AP1" s="9"/>
    </row>
    <row r="2" spans="38:42" ht="15">
      <c r="AL2" s="1"/>
      <c r="AM2" s="33"/>
      <c r="AN2" s="33"/>
      <c r="AO2" s="9"/>
      <c r="AP2" s="9"/>
    </row>
    <row r="3" spans="38:42" ht="26.25" customHeight="1">
      <c r="AL3" s="37"/>
      <c r="AM3" s="38"/>
      <c r="AN3" s="38"/>
      <c r="AO3" s="10"/>
      <c r="AP3" s="10"/>
    </row>
    <row r="4" spans="39:42" ht="13.5" customHeight="1">
      <c r="AM4" s="10"/>
      <c r="AN4" s="10"/>
      <c r="AO4" s="10"/>
      <c r="AP4" s="10"/>
    </row>
    <row r="5" ht="7.5" customHeight="1">
      <c r="AO5" s="32"/>
    </row>
    <row r="6" spans="1:44" ht="21">
      <c r="A6" s="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R6" s="36"/>
    </row>
    <row r="7" spans="1:49" ht="8.2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</row>
    <row r="8" spans="1:49" ht="14.25" customHeight="1">
      <c r="A8" s="144" t="s">
        <v>31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5"/>
      <c r="AM8" s="145"/>
      <c r="AN8" s="145"/>
      <c r="AO8" s="145"/>
      <c r="AP8" s="145"/>
      <c r="AQ8" s="145"/>
      <c r="AR8" s="145"/>
      <c r="AS8" s="145"/>
      <c r="AT8" s="35"/>
      <c r="AU8" s="35"/>
      <c r="AV8" s="35"/>
      <c r="AW8" s="35"/>
    </row>
    <row r="9" spans="1:54" ht="7.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BB9" s="72"/>
    </row>
    <row r="10" ht="9.75" customHeight="1"/>
    <row r="11" ht="4.5" customHeight="1">
      <c r="BX11" s="42" t="s">
        <v>32</v>
      </c>
    </row>
    <row r="12" spans="1:91" ht="15.75">
      <c r="A12" s="146" t="s">
        <v>27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6"/>
      <c r="BE12" s="147"/>
      <c r="BF12" s="147"/>
      <c r="BG12" s="146"/>
      <c r="BH12" s="147"/>
      <c r="BI12" s="147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</row>
    <row r="13" spans="1:91" ht="15">
      <c r="A13" s="17"/>
      <c r="B13" s="143" t="s">
        <v>248</v>
      </c>
      <c r="C13" s="143"/>
      <c r="D13" s="143"/>
      <c r="E13" s="143" t="s">
        <v>249</v>
      </c>
      <c r="F13" s="143"/>
      <c r="G13" s="143"/>
      <c r="H13" s="143" t="s">
        <v>250</v>
      </c>
      <c r="I13" s="143"/>
      <c r="J13" s="143"/>
      <c r="K13" s="143" t="s">
        <v>251</v>
      </c>
      <c r="L13" s="143"/>
      <c r="M13" s="143"/>
      <c r="N13" s="143" t="s">
        <v>247</v>
      </c>
      <c r="O13" s="143"/>
      <c r="P13" s="143"/>
      <c r="Q13" s="143" t="s">
        <v>246</v>
      </c>
      <c r="R13" s="143"/>
      <c r="S13" s="143"/>
      <c r="T13" s="143" t="s">
        <v>245</v>
      </c>
      <c r="U13" s="143"/>
      <c r="V13" s="143"/>
      <c r="W13" s="143" t="s">
        <v>244</v>
      </c>
      <c r="X13" s="143"/>
      <c r="Y13" s="143"/>
      <c r="Z13" s="143" t="s">
        <v>243</v>
      </c>
      <c r="AA13" s="143"/>
      <c r="AB13" s="143"/>
      <c r="AC13" s="143" t="s">
        <v>242</v>
      </c>
      <c r="AD13" s="143"/>
      <c r="AE13" s="143"/>
      <c r="AF13" s="143" t="s">
        <v>241</v>
      </c>
      <c r="AG13" s="143"/>
      <c r="AH13" s="143"/>
      <c r="AI13" s="143" t="s">
        <v>240</v>
      </c>
      <c r="AJ13" s="143"/>
      <c r="AK13" s="143"/>
      <c r="AL13" s="143">
        <v>2006</v>
      </c>
      <c r="AM13" s="143"/>
      <c r="AN13" s="143"/>
      <c r="AO13" s="143">
        <v>2007</v>
      </c>
      <c r="AP13" s="143"/>
      <c r="AQ13" s="143"/>
      <c r="AR13" s="143">
        <v>2008</v>
      </c>
      <c r="AS13" s="143"/>
      <c r="AT13" s="143"/>
      <c r="AU13" s="143">
        <v>2009</v>
      </c>
      <c r="AV13" s="143"/>
      <c r="AW13" s="143"/>
      <c r="AX13" s="143" t="s">
        <v>52</v>
      </c>
      <c r="AY13" s="143"/>
      <c r="AZ13" s="143"/>
      <c r="BA13" s="143" t="s">
        <v>54</v>
      </c>
      <c r="BB13" s="143"/>
      <c r="BC13" s="143"/>
      <c r="BD13" s="143" t="s">
        <v>80</v>
      </c>
      <c r="BE13" s="143"/>
      <c r="BF13" s="143"/>
      <c r="BG13" s="143" t="s">
        <v>85</v>
      </c>
      <c r="BH13" s="143"/>
      <c r="BI13" s="143"/>
      <c r="BJ13" s="143" t="s">
        <v>87</v>
      </c>
      <c r="BK13" s="143"/>
      <c r="BL13" s="143"/>
      <c r="BM13" s="143" t="s">
        <v>95</v>
      </c>
      <c r="BN13" s="143"/>
      <c r="BO13" s="143"/>
      <c r="BP13" s="143" t="s">
        <v>98</v>
      </c>
      <c r="BQ13" s="143"/>
      <c r="BR13" s="143"/>
      <c r="BS13" s="143" t="s">
        <v>99</v>
      </c>
      <c r="BT13" s="143"/>
      <c r="BU13" s="143"/>
      <c r="BV13" s="143" t="s">
        <v>100</v>
      </c>
      <c r="BW13" s="143"/>
      <c r="BX13" s="143"/>
      <c r="BY13" s="143" t="s">
        <v>101</v>
      </c>
      <c r="BZ13" s="143"/>
      <c r="CA13" s="143"/>
      <c r="CB13" s="143" t="s">
        <v>102</v>
      </c>
      <c r="CC13" s="143"/>
      <c r="CD13" s="143"/>
      <c r="CE13" s="143" t="s">
        <v>267</v>
      </c>
      <c r="CF13" s="143"/>
      <c r="CG13" s="143"/>
      <c r="CH13" s="143" t="s">
        <v>103</v>
      </c>
      <c r="CI13" s="143"/>
      <c r="CJ13" s="143"/>
      <c r="CK13" s="143" t="s">
        <v>104</v>
      </c>
      <c r="CL13" s="143"/>
      <c r="CM13" s="143"/>
    </row>
    <row r="14" spans="1:91" ht="15">
      <c r="A14" s="16"/>
      <c r="B14" s="18" t="s">
        <v>0</v>
      </c>
      <c r="C14" s="18" t="s">
        <v>16</v>
      </c>
      <c r="D14" s="18" t="s">
        <v>1</v>
      </c>
      <c r="E14" s="18" t="s">
        <v>0</v>
      </c>
      <c r="F14" s="18" t="s">
        <v>16</v>
      </c>
      <c r="G14" s="18" t="s">
        <v>1</v>
      </c>
      <c r="H14" s="18" t="s">
        <v>0</v>
      </c>
      <c r="I14" s="18" t="s">
        <v>16</v>
      </c>
      <c r="J14" s="18" t="s">
        <v>1</v>
      </c>
      <c r="K14" s="18" t="s">
        <v>0</v>
      </c>
      <c r="L14" s="18" t="s">
        <v>16</v>
      </c>
      <c r="M14" s="18" t="s">
        <v>1</v>
      </c>
      <c r="N14" s="18" t="s">
        <v>0</v>
      </c>
      <c r="O14" s="18" t="s">
        <v>16</v>
      </c>
      <c r="P14" s="18" t="s">
        <v>1</v>
      </c>
      <c r="Q14" s="18" t="s">
        <v>0</v>
      </c>
      <c r="R14" s="18" t="s">
        <v>16</v>
      </c>
      <c r="S14" s="18" t="s">
        <v>1</v>
      </c>
      <c r="T14" s="18" t="s">
        <v>0</v>
      </c>
      <c r="U14" s="18" t="s">
        <v>16</v>
      </c>
      <c r="V14" s="18" t="s">
        <v>1</v>
      </c>
      <c r="W14" s="18" t="s">
        <v>0</v>
      </c>
      <c r="X14" s="18" t="s">
        <v>16</v>
      </c>
      <c r="Y14" s="18" t="s">
        <v>1</v>
      </c>
      <c r="Z14" s="18" t="s">
        <v>0</v>
      </c>
      <c r="AA14" s="18" t="s">
        <v>16</v>
      </c>
      <c r="AB14" s="18" t="s">
        <v>1</v>
      </c>
      <c r="AC14" s="18" t="s">
        <v>0</v>
      </c>
      <c r="AD14" s="18" t="s">
        <v>16</v>
      </c>
      <c r="AE14" s="18" t="s">
        <v>1</v>
      </c>
      <c r="AF14" s="18" t="s">
        <v>0</v>
      </c>
      <c r="AG14" s="18" t="s">
        <v>16</v>
      </c>
      <c r="AH14" s="18" t="s">
        <v>1</v>
      </c>
      <c r="AI14" s="18" t="s">
        <v>0</v>
      </c>
      <c r="AJ14" s="18" t="s">
        <v>16</v>
      </c>
      <c r="AK14" s="18" t="s">
        <v>1</v>
      </c>
      <c r="AL14" s="18" t="s">
        <v>0</v>
      </c>
      <c r="AM14" s="18" t="s">
        <v>16</v>
      </c>
      <c r="AN14" s="18" t="s">
        <v>1</v>
      </c>
      <c r="AO14" s="18" t="s">
        <v>0</v>
      </c>
      <c r="AP14" s="18" t="s">
        <v>16</v>
      </c>
      <c r="AQ14" s="18" t="s">
        <v>1</v>
      </c>
      <c r="AR14" s="18" t="s">
        <v>0</v>
      </c>
      <c r="AS14" s="18" t="s">
        <v>16</v>
      </c>
      <c r="AT14" s="18" t="s">
        <v>1</v>
      </c>
      <c r="AU14" s="18" t="s">
        <v>0</v>
      </c>
      <c r="AV14" s="18" t="s">
        <v>16</v>
      </c>
      <c r="AW14" s="18" t="s">
        <v>1</v>
      </c>
      <c r="AX14" s="18" t="s">
        <v>0</v>
      </c>
      <c r="AY14" s="18" t="s">
        <v>16</v>
      </c>
      <c r="AZ14" s="18" t="s">
        <v>1</v>
      </c>
      <c r="BA14" s="18" t="s">
        <v>0</v>
      </c>
      <c r="BB14" s="18" t="s">
        <v>16</v>
      </c>
      <c r="BC14" s="18" t="s">
        <v>1</v>
      </c>
      <c r="BD14" s="18" t="s">
        <v>0</v>
      </c>
      <c r="BE14" s="18" t="s">
        <v>16</v>
      </c>
      <c r="BF14" s="18" t="s">
        <v>1</v>
      </c>
      <c r="BG14" s="18" t="s">
        <v>0</v>
      </c>
      <c r="BH14" s="18" t="s">
        <v>16</v>
      </c>
      <c r="BI14" s="18" t="s">
        <v>1</v>
      </c>
      <c r="BJ14" s="18" t="s">
        <v>0</v>
      </c>
      <c r="BK14" s="18" t="s">
        <v>16</v>
      </c>
      <c r="BL14" s="18" t="s">
        <v>1</v>
      </c>
      <c r="BM14" s="18" t="s">
        <v>0</v>
      </c>
      <c r="BN14" s="18" t="s">
        <v>16</v>
      </c>
      <c r="BO14" s="18" t="s">
        <v>1</v>
      </c>
      <c r="BP14" s="18" t="s">
        <v>0</v>
      </c>
      <c r="BQ14" s="18" t="s">
        <v>16</v>
      </c>
      <c r="BR14" s="18" t="s">
        <v>1</v>
      </c>
      <c r="BS14" s="18" t="s">
        <v>0</v>
      </c>
      <c r="BT14" s="18" t="s">
        <v>16</v>
      </c>
      <c r="BU14" s="18" t="s">
        <v>1</v>
      </c>
      <c r="BV14" s="18" t="s">
        <v>0</v>
      </c>
      <c r="BW14" s="18" t="s">
        <v>16</v>
      </c>
      <c r="BX14" s="18" t="s">
        <v>1</v>
      </c>
      <c r="BY14" s="18" t="s">
        <v>0</v>
      </c>
      <c r="BZ14" s="18" t="s">
        <v>16</v>
      </c>
      <c r="CA14" s="18" t="s">
        <v>1</v>
      </c>
      <c r="CB14" s="18" t="s">
        <v>0</v>
      </c>
      <c r="CC14" s="18" t="s">
        <v>16</v>
      </c>
      <c r="CD14" s="18" t="s">
        <v>1</v>
      </c>
      <c r="CE14" s="18" t="s">
        <v>0</v>
      </c>
      <c r="CF14" s="18" t="s">
        <v>16</v>
      </c>
      <c r="CG14" s="18" t="s">
        <v>1</v>
      </c>
      <c r="CH14" s="18" t="s">
        <v>0</v>
      </c>
      <c r="CI14" s="18" t="s">
        <v>16</v>
      </c>
      <c r="CJ14" s="18" t="s">
        <v>1</v>
      </c>
      <c r="CK14" s="18" t="s">
        <v>0</v>
      </c>
      <c r="CL14" s="18" t="s">
        <v>16</v>
      </c>
      <c r="CM14" s="18" t="s">
        <v>1</v>
      </c>
    </row>
    <row r="15" spans="1:91" s="5" customFormat="1" ht="15">
      <c r="A15" s="15" t="s">
        <v>2</v>
      </c>
      <c r="B15" s="19">
        <f aca="true" t="shared" si="0" ref="B15:AL15">+B16+B26</f>
        <v>0</v>
      </c>
      <c r="C15" s="19">
        <f t="shared" si="0"/>
        <v>677243.83</v>
      </c>
      <c r="D15" s="19">
        <f t="shared" si="0"/>
        <v>677243.83</v>
      </c>
      <c r="E15" s="19">
        <f t="shared" si="0"/>
        <v>28430874.67</v>
      </c>
      <c r="F15" s="19">
        <f t="shared" si="0"/>
        <v>77647669.11999999</v>
      </c>
      <c r="G15" s="19">
        <f t="shared" si="0"/>
        <v>106078543.79</v>
      </c>
      <c r="H15" s="19">
        <f t="shared" si="0"/>
        <v>64314724.08</v>
      </c>
      <c r="I15" s="19">
        <f t="shared" si="0"/>
        <v>133231011.54</v>
      </c>
      <c r="J15" s="19">
        <f t="shared" si="0"/>
        <v>197545735.62</v>
      </c>
      <c r="K15" s="19">
        <f t="shared" si="0"/>
        <v>62340629.13</v>
      </c>
      <c r="L15" s="19">
        <f t="shared" si="0"/>
        <v>1148908650.3299997</v>
      </c>
      <c r="M15" s="19">
        <f t="shared" si="0"/>
        <v>1211249279.4599998</v>
      </c>
      <c r="N15" s="19">
        <f t="shared" si="0"/>
        <v>66698389.8</v>
      </c>
      <c r="O15" s="19">
        <f t="shared" si="0"/>
        <v>174440106.41</v>
      </c>
      <c r="P15" s="19">
        <f t="shared" si="0"/>
        <v>241138496.21</v>
      </c>
      <c r="Q15" s="19">
        <f t="shared" si="0"/>
        <v>2165276285.77</v>
      </c>
      <c r="R15" s="19">
        <f t="shared" si="0"/>
        <v>234452474.99</v>
      </c>
      <c r="S15" s="19">
        <f t="shared" si="0"/>
        <v>2399728760.76</v>
      </c>
      <c r="T15" s="19">
        <f t="shared" si="0"/>
        <v>189860128.36</v>
      </c>
      <c r="U15" s="19">
        <f t="shared" si="0"/>
        <v>705067761.5600001</v>
      </c>
      <c r="V15" s="19">
        <f t="shared" si="0"/>
        <v>894927889.92</v>
      </c>
      <c r="W15" s="19">
        <f t="shared" si="0"/>
        <v>291203601.45000005</v>
      </c>
      <c r="X15" s="19">
        <f t="shared" si="0"/>
        <v>926922846.4</v>
      </c>
      <c r="Y15" s="19">
        <f t="shared" si="0"/>
        <v>1218126447.85</v>
      </c>
      <c r="Z15" s="19">
        <f t="shared" si="0"/>
        <v>402188715.21</v>
      </c>
      <c r="AA15" s="19">
        <f t="shared" si="0"/>
        <v>1205736252.4800005</v>
      </c>
      <c r="AB15" s="19">
        <f t="shared" si="0"/>
        <v>1607924967.6900003</v>
      </c>
      <c r="AC15" s="19">
        <f t="shared" si="0"/>
        <v>530402159.68</v>
      </c>
      <c r="AD15" s="19">
        <f t="shared" si="0"/>
        <v>1625136589.84</v>
      </c>
      <c r="AE15" s="19">
        <f t="shared" si="0"/>
        <v>2155538749.5199995</v>
      </c>
      <c r="AF15" s="19">
        <f t="shared" si="0"/>
        <v>795956040.3699999</v>
      </c>
      <c r="AG15" s="19">
        <f t="shared" si="0"/>
        <v>1523990815.1100001</v>
      </c>
      <c r="AH15" s="19">
        <f t="shared" si="0"/>
        <v>2319946855.4800005</v>
      </c>
      <c r="AI15" s="19">
        <f t="shared" si="0"/>
        <v>730372996.56</v>
      </c>
      <c r="AJ15" s="19">
        <f t="shared" si="0"/>
        <v>1804863178.092</v>
      </c>
      <c r="AK15" s="19">
        <f t="shared" si="0"/>
        <v>2535236174.6520004</v>
      </c>
      <c r="AL15" s="19">
        <f t="shared" si="0"/>
        <v>706525182.3</v>
      </c>
      <c r="AM15" s="19">
        <f aca="true" t="shared" si="1" ref="AM15:BO15">+AM16+AM26</f>
        <v>1939382203.8</v>
      </c>
      <c r="AN15" s="19">
        <f t="shared" si="1"/>
        <v>2645907386.1000004</v>
      </c>
      <c r="AO15" s="19">
        <f t="shared" si="1"/>
        <v>820159975.48</v>
      </c>
      <c r="AP15" s="19">
        <f t="shared" si="1"/>
        <v>2136640341.2900002</v>
      </c>
      <c r="AQ15" s="19">
        <f t="shared" si="1"/>
        <v>2956800316.7699995</v>
      </c>
      <c r="AR15" s="19">
        <f t="shared" si="1"/>
        <v>860676085.6734998</v>
      </c>
      <c r="AS15" s="19">
        <f t="shared" si="1"/>
        <v>2258619060.15</v>
      </c>
      <c r="AT15" s="19">
        <f t="shared" si="1"/>
        <v>3119295145.8234997</v>
      </c>
      <c r="AU15" s="19">
        <f t="shared" si="1"/>
        <v>1218357671.7118413</v>
      </c>
      <c r="AV15" s="19">
        <f t="shared" si="1"/>
        <v>2288252530.7006917</v>
      </c>
      <c r="AW15" s="19">
        <f t="shared" si="1"/>
        <v>3506610202.4125333</v>
      </c>
      <c r="AX15" s="19">
        <f t="shared" si="1"/>
        <v>1223519291.85</v>
      </c>
      <c r="AY15" s="19">
        <f t="shared" si="1"/>
        <v>2331163501.4500003</v>
      </c>
      <c r="AZ15" s="19">
        <f t="shared" si="1"/>
        <v>3554682793.3</v>
      </c>
      <c r="BA15" s="19">
        <f t="shared" si="1"/>
        <v>1626539051.33</v>
      </c>
      <c r="BB15" s="19">
        <f t="shared" si="1"/>
        <v>2466475948.7799997</v>
      </c>
      <c r="BC15" s="19">
        <f>+BC16+BC26</f>
        <v>4093015000.1099997</v>
      </c>
      <c r="BD15" s="19">
        <f t="shared" si="1"/>
        <v>2286933685.06</v>
      </c>
      <c r="BE15" s="19">
        <f t="shared" si="1"/>
        <v>2630849561.75</v>
      </c>
      <c r="BF15" s="19">
        <f t="shared" si="1"/>
        <v>4917783246.809999</v>
      </c>
      <c r="BG15" s="19">
        <f t="shared" si="1"/>
        <v>2837855464.49</v>
      </c>
      <c r="BH15" s="19">
        <f t="shared" si="1"/>
        <v>2929094468.4</v>
      </c>
      <c r="BI15" s="19">
        <f>+BG15+BH15</f>
        <v>5766949932.889999</v>
      </c>
      <c r="BJ15" s="19">
        <f t="shared" si="1"/>
        <v>3439840196.2900004</v>
      </c>
      <c r="BK15" s="19">
        <f t="shared" si="1"/>
        <v>3230291330.0299997</v>
      </c>
      <c r="BL15" s="19">
        <f t="shared" si="1"/>
        <v>6670131526.32</v>
      </c>
      <c r="BM15" s="19">
        <f t="shared" si="1"/>
        <v>3301105525.99</v>
      </c>
      <c r="BN15" s="19">
        <f t="shared" si="1"/>
        <v>3685329540.79</v>
      </c>
      <c r="BO15" s="19">
        <f t="shared" si="1"/>
        <v>6986435066.780001</v>
      </c>
      <c r="BP15" s="19">
        <f>+BP16+BP26</f>
        <v>2113984805.4679165</v>
      </c>
      <c r="BQ15" s="19">
        <f>+BQ16+BQ26</f>
        <v>2872263369.2619</v>
      </c>
      <c r="BR15" s="19">
        <f>+BR16+BR26</f>
        <v>4986248174.729816</v>
      </c>
      <c r="BS15" s="19">
        <v>882721492.9300001</v>
      </c>
      <c r="BT15" s="19">
        <v>893864749.119</v>
      </c>
      <c r="BU15" s="19">
        <v>1776586242.0489998</v>
      </c>
      <c r="BV15" s="19">
        <v>455711569.49000007</v>
      </c>
      <c r="BW15" s="19">
        <v>112931322.44</v>
      </c>
      <c r="BX15" s="19">
        <v>568642891.93</v>
      </c>
      <c r="BY15" s="19">
        <f>+BY16+BY26</f>
        <v>556047177.98</v>
      </c>
      <c r="BZ15" s="19">
        <f>+BZ16+BZ26</f>
        <v>120001779.08</v>
      </c>
      <c r="CA15" s="19">
        <f>+BY15+BZ15</f>
        <v>676048957.0600001</v>
      </c>
      <c r="CB15" s="19">
        <f>+CB16+CB26</f>
        <v>370088228.28999996</v>
      </c>
      <c r="CC15" s="19">
        <f>+CC16+CC26</f>
        <v>365066260.40999997</v>
      </c>
      <c r="CD15" s="19">
        <f>+CB15+CC15</f>
        <v>735154488.6999999</v>
      </c>
      <c r="CE15" s="19">
        <f>+CE16+CE26</f>
        <v>488308748.4891345</v>
      </c>
      <c r="CF15" s="19">
        <f>+CF16+CF26</f>
        <v>821868692.89</v>
      </c>
      <c r="CG15" s="19">
        <f>+CE15+CF15</f>
        <v>1310177441.3791344</v>
      </c>
      <c r="CH15" s="19">
        <f>+CH16+CH26</f>
        <v>689371012.5678415</v>
      </c>
      <c r="CI15" s="19">
        <f>+CI16+CI26</f>
        <v>928017991.48</v>
      </c>
      <c r="CJ15" s="19">
        <f>+CH15+CI15</f>
        <v>1617389004.0478415</v>
      </c>
      <c r="CK15" s="19">
        <f>+CK16+CK26</f>
        <v>1807484834.0665927</v>
      </c>
      <c r="CL15" s="19">
        <f>+CL16+CL26</f>
        <v>3033588923.99</v>
      </c>
      <c r="CM15" s="19">
        <f>+CK15+CL15</f>
        <v>4841073758.056593</v>
      </c>
    </row>
    <row r="16" spans="1:91" s="5" customFormat="1" ht="15">
      <c r="A16" s="106" t="s">
        <v>3</v>
      </c>
      <c r="B16" s="107">
        <f aca="true" t="shared" si="2" ref="B16:AL16">+B17</f>
        <v>0</v>
      </c>
      <c r="C16" s="107">
        <f t="shared" si="2"/>
        <v>0</v>
      </c>
      <c r="D16" s="107">
        <f t="shared" si="2"/>
        <v>0</v>
      </c>
      <c r="E16" s="107">
        <f t="shared" si="2"/>
        <v>28430874.67</v>
      </c>
      <c r="F16" s="107">
        <f t="shared" si="2"/>
        <v>76004249.88</v>
      </c>
      <c r="G16" s="107">
        <f t="shared" si="2"/>
        <v>104435124.55000001</v>
      </c>
      <c r="H16" s="107">
        <f t="shared" si="2"/>
        <v>64314724.08</v>
      </c>
      <c r="I16" s="107">
        <f t="shared" si="2"/>
        <v>129857105.34</v>
      </c>
      <c r="J16" s="107">
        <f t="shared" si="2"/>
        <v>194171829.42000002</v>
      </c>
      <c r="K16" s="107">
        <f t="shared" si="2"/>
        <v>62340629.13</v>
      </c>
      <c r="L16" s="107">
        <f t="shared" si="2"/>
        <v>1141182411.3199997</v>
      </c>
      <c r="M16" s="107">
        <f t="shared" si="2"/>
        <v>1203523040.4499998</v>
      </c>
      <c r="N16" s="107">
        <f t="shared" si="2"/>
        <v>66698389.8</v>
      </c>
      <c r="O16" s="107">
        <f t="shared" si="2"/>
        <v>153226384.57</v>
      </c>
      <c r="P16" s="107">
        <f t="shared" si="2"/>
        <v>219924774.37</v>
      </c>
      <c r="Q16" s="107">
        <f t="shared" si="2"/>
        <v>2165276285.77</v>
      </c>
      <c r="R16" s="107">
        <f t="shared" si="2"/>
        <v>165975563.91</v>
      </c>
      <c r="S16" s="107">
        <f t="shared" si="2"/>
        <v>2331251849.6800003</v>
      </c>
      <c r="T16" s="107">
        <f t="shared" si="2"/>
        <v>189860128.36</v>
      </c>
      <c r="U16" s="107">
        <f t="shared" si="2"/>
        <v>633525617.71</v>
      </c>
      <c r="V16" s="107">
        <f t="shared" si="2"/>
        <v>823385746.0699999</v>
      </c>
      <c r="W16" s="107">
        <f t="shared" si="2"/>
        <v>271738332.22</v>
      </c>
      <c r="X16" s="107">
        <f t="shared" si="2"/>
        <v>828636269.78</v>
      </c>
      <c r="Y16" s="107">
        <f t="shared" si="2"/>
        <v>1100374602</v>
      </c>
      <c r="Z16" s="107">
        <f t="shared" si="2"/>
        <v>206133269</v>
      </c>
      <c r="AA16" s="107">
        <f t="shared" si="2"/>
        <v>963423795.7200004</v>
      </c>
      <c r="AB16" s="107">
        <f t="shared" si="2"/>
        <v>1169557064.7200003</v>
      </c>
      <c r="AC16" s="107">
        <f t="shared" si="2"/>
        <v>308268385</v>
      </c>
      <c r="AD16" s="107">
        <f t="shared" si="2"/>
        <v>1352694494.05</v>
      </c>
      <c r="AE16" s="107">
        <f t="shared" si="2"/>
        <v>1660962879.0499997</v>
      </c>
      <c r="AF16" s="107">
        <f t="shared" si="2"/>
        <v>383804481.09999996</v>
      </c>
      <c r="AG16" s="107">
        <f t="shared" si="2"/>
        <v>1325530476.0200002</v>
      </c>
      <c r="AH16" s="107">
        <f t="shared" si="2"/>
        <v>1709334957.1200001</v>
      </c>
      <c r="AI16" s="107">
        <f t="shared" si="2"/>
        <v>371475545.12</v>
      </c>
      <c r="AJ16" s="107">
        <f t="shared" si="2"/>
        <v>1550817506.43</v>
      </c>
      <c r="AK16" s="107">
        <f t="shared" si="2"/>
        <v>1922293051.5500002</v>
      </c>
      <c r="AL16" s="107">
        <f t="shared" si="2"/>
        <v>355696644.78</v>
      </c>
      <c r="AM16" s="107">
        <f aca="true" t="shared" si="3" ref="AM16:BR16">+AM17</f>
        <v>1726207576.04</v>
      </c>
      <c r="AN16" s="107">
        <f t="shared" si="3"/>
        <v>2081904220.8200002</v>
      </c>
      <c r="AO16" s="107">
        <f t="shared" si="3"/>
        <v>457068600.53000003</v>
      </c>
      <c r="AP16" s="107">
        <f t="shared" si="3"/>
        <v>1943063981.7700002</v>
      </c>
      <c r="AQ16" s="107">
        <f t="shared" si="3"/>
        <v>2400132582.2999997</v>
      </c>
      <c r="AR16" s="107">
        <f t="shared" si="3"/>
        <v>488433833.5434998</v>
      </c>
      <c r="AS16" s="107">
        <f t="shared" si="3"/>
        <v>2082452303.41</v>
      </c>
      <c r="AT16" s="107">
        <f t="shared" si="3"/>
        <v>2570886136.9535</v>
      </c>
      <c r="AU16" s="107">
        <f t="shared" si="3"/>
        <v>818212413.2818413</v>
      </c>
      <c r="AV16" s="107">
        <f t="shared" si="3"/>
        <v>2117621926.1306915</v>
      </c>
      <c r="AW16" s="107">
        <f t="shared" si="3"/>
        <v>2935834339.4125333</v>
      </c>
      <c r="AX16" s="107">
        <f t="shared" si="3"/>
        <v>903323199.25</v>
      </c>
      <c r="AY16" s="107">
        <f t="shared" si="3"/>
        <v>2168322439.34</v>
      </c>
      <c r="AZ16" s="107">
        <f t="shared" si="3"/>
        <v>3071645638.59</v>
      </c>
      <c r="BA16" s="107">
        <f t="shared" si="3"/>
        <v>1301076511.8799999</v>
      </c>
      <c r="BB16" s="107">
        <f t="shared" si="3"/>
        <v>2291796755.74</v>
      </c>
      <c r="BC16" s="107">
        <f t="shared" si="3"/>
        <v>3592873267.6199994</v>
      </c>
      <c r="BD16" s="107">
        <f t="shared" si="3"/>
        <v>1746771682.25</v>
      </c>
      <c r="BE16" s="107">
        <f t="shared" si="3"/>
        <v>2337837401.21</v>
      </c>
      <c r="BF16" s="107">
        <f t="shared" si="3"/>
        <v>4084609083.4599996</v>
      </c>
      <c r="BG16" s="107">
        <f t="shared" si="3"/>
        <v>2149800934.12</v>
      </c>
      <c r="BH16" s="107">
        <f t="shared" si="3"/>
        <v>2386470066.35</v>
      </c>
      <c r="BI16" s="107">
        <f t="shared" si="3"/>
        <v>4536271000.469999</v>
      </c>
      <c r="BJ16" s="107">
        <f t="shared" si="3"/>
        <v>2777725161.2500005</v>
      </c>
      <c r="BK16" s="107">
        <f t="shared" si="3"/>
        <v>2416881060.2999997</v>
      </c>
      <c r="BL16" s="107">
        <f t="shared" si="3"/>
        <v>5194606221.55</v>
      </c>
      <c r="BM16" s="107">
        <f t="shared" si="3"/>
        <v>2494830100.5</v>
      </c>
      <c r="BN16" s="107">
        <f t="shared" si="3"/>
        <v>2327122384</v>
      </c>
      <c r="BO16" s="107">
        <f t="shared" si="3"/>
        <v>4821952484.5</v>
      </c>
      <c r="BP16" s="107">
        <f t="shared" si="3"/>
        <v>1255266109.5479167</v>
      </c>
      <c r="BQ16" s="107">
        <f t="shared" si="3"/>
        <v>1366005439.4700003</v>
      </c>
      <c r="BR16" s="107">
        <f t="shared" si="3"/>
        <v>2621271549.017917</v>
      </c>
      <c r="BS16" s="107">
        <v>403970069.37</v>
      </c>
      <c r="BT16" s="107">
        <v>381425086.96</v>
      </c>
      <c r="BU16" s="107">
        <v>785395156.3299999</v>
      </c>
      <c r="BV16" s="107">
        <v>10026465.559999999</v>
      </c>
      <c r="BW16" s="107">
        <v>5397586.2</v>
      </c>
      <c r="BX16" s="107">
        <v>15424051.76</v>
      </c>
      <c r="BY16" s="107">
        <f>+BY17</f>
        <v>8434705.65</v>
      </c>
      <c r="BZ16" s="107">
        <f>+BZ17</f>
        <v>4990304.08</v>
      </c>
      <c r="CA16" s="107">
        <f>+BY16+BZ16</f>
        <v>13425009.73</v>
      </c>
      <c r="CB16" s="107">
        <f>+CB17</f>
        <v>13617758.639999999</v>
      </c>
      <c r="CC16" s="107">
        <f>+CC17</f>
        <v>197852365.14</v>
      </c>
      <c r="CD16" s="107">
        <f>+CB16+CC16</f>
        <v>211470123.77999997</v>
      </c>
      <c r="CE16" s="107">
        <f>+CE17</f>
        <v>194925060.18</v>
      </c>
      <c r="CF16" s="107">
        <f>+CF17</f>
        <v>748928033.89</v>
      </c>
      <c r="CG16" s="107">
        <f>+CE16+CF16</f>
        <v>943853094.0699999</v>
      </c>
      <c r="CH16" s="107">
        <f>+CH17</f>
        <v>386245371.39</v>
      </c>
      <c r="CI16" s="107">
        <f>+CI17</f>
        <v>851639100.29</v>
      </c>
      <c r="CJ16" s="107">
        <f>+CH16+CI16</f>
        <v>1237884471.6799998</v>
      </c>
      <c r="CK16" s="107">
        <f>+CK17</f>
        <v>1659160467.51</v>
      </c>
      <c r="CL16" s="107">
        <f>+CL17</f>
        <v>2950493670.52</v>
      </c>
      <c r="CM16" s="107">
        <f>+CK16+CL16</f>
        <v>4609654138.03</v>
      </c>
    </row>
    <row r="17" spans="1:91" s="5" customFormat="1" ht="15">
      <c r="A17" s="20" t="s">
        <v>134</v>
      </c>
      <c r="B17" s="21">
        <f aca="true" t="shared" si="4" ref="B17:AL17">SUM(B18:B24)</f>
        <v>0</v>
      </c>
      <c r="C17" s="21">
        <f t="shared" si="4"/>
        <v>0</v>
      </c>
      <c r="D17" s="21">
        <f t="shared" si="4"/>
        <v>0</v>
      </c>
      <c r="E17" s="21">
        <f t="shared" si="4"/>
        <v>28430874.67</v>
      </c>
      <c r="F17" s="21">
        <f t="shared" si="4"/>
        <v>76004249.88</v>
      </c>
      <c r="G17" s="21">
        <f t="shared" si="4"/>
        <v>104435124.55000001</v>
      </c>
      <c r="H17" s="21">
        <f t="shared" si="4"/>
        <v>64314724.08</v>
      </c>
      <c r="I17" s="21">
        <f t="shared" si="4"/>
        <v>129857105.34</v>
      </c>
      <c r="J17" s="21">
        <f t="shared" si="4"/>
        <v>194171829.42000002</v>
      </c>
      <c r="K17" s="21">
        <f t="shared" si="4"/>
        <v>62340629.13</v>
      </c>
      <c r="L17" s="21">
        <f t="shared" si="4"/>
        <v>1141182411.3199997</v>
      </c>
      <c r="M17" s="21">
        <f t="shared" si="4"/>
        <v>1203523040.4499998</v>
      </c>
      <c r="N17" s="21">
        <f t="shared" si="4"/>
        <v>66698389.8</v>
      </c>
      <c r="O17" s="21">
        <f t="shared" si="4"/>
        <v>153226384.57</v>
      </c>
      <c r="P17" s="21">
        <f t="shared" si="4"/>
        <v>219924774.37</v>
      </c>
      <c r="Q17" s="21">
        <f t="shared" si="4"/>
        <v>2165276285.77</v>
      </c>
      <c r="R17" s="21">
        <f t="shared" si="4"/>
        <v>165975563.91</v>
      </c>
      <c r="S17" s="21">
        <f t="shared" si="4"/>
        <v>2331251849.6800003</v>
      </c>
      <c r="T17" s="21">
        <f t="shared" si="4"/>
        <v>189860128.36</v>
      </c>
      <c r="U17" s="21">
        <f t="shared" si="4"/>
        <v>633525617.71</v>
      </c>
      <c r="V17" s="21">
        <f t="shared" si="4"/>
        <v>823385746.0699999</v>
      </c>
      <c r="W17" s="21">
        <f t="shared" si="4"/>
        <v>271738332.22</v>
      </c>
      <c r="X17" s="21">
        <f t="shared" si="4"/>
        <v>828636269.78</v>
      </c>
      <c r="Y17" s="21">
        <f t="shared" si="4"/>
        <v>1100374602</v>
      </c>
      <c r="Z17" s="21">
        <f t="shared" si="4"/>
        <v>206133269</v>
      </c>
      <c r="AA17" s="21">
        <f t="shared" si="4"/>
        <v>963423795.7200004</v>
      </c>
      <c r="AB17" s="21">
        <f t="shared" si="4"/>
        <v>1169557064.7200003</v>
      </c>
      <c r="AC17" s="21">
        <f t="shared" si="4"/>
        <v>308268385</v>
      </c>
      <c r="AD17" s="21">
        <f t="shared" si="4"/>
        <v>1352694494.05</v>
      </c>
      <c r="AE17" s="21">
        <f t="shared" si="4"/>
        <v>1660962879.0499997</v>
      </c>
      <c r="AF17" s="21">
        <f t="shared" si="4"/>
        <v>383804481.09999996</v>
      </c>
      <c r="AG17" s="21">
        <f t="shared" si="4"/>
        <v>1325530476.0200002</v>
      </c>
      <c r="AH17" s="21">
        <f t="shared" si="4"/>
        <v>1709334957.1200001</v>
      </c>
      <c r="AI17" s="21">
        <f t="shared" si="4"/>
        <v>371475545.12</v>
      </c>
      <c r="AJ17" s="21">
        <f t="shared" si="4"/>
        <v>1550817506.43</v>
      </c>
      <c r="AK17" s="21">
        <f t="shared" si="4"/>
        <v>1922293051.5500002</v>
      </c>
      <c r="AL17" s="21">
        <f t="shared" si="4"/>
        <v>355696644.78</v>
      </c>
      <c r="AM17" s="21">
        <f aca="true" t="shared" si="5" ref="AM17:BL17">SUM(AM18:AM24)</f>
        <v>1726207576.04</v>
      </c>
      <c r="AN17" s="21">
        <f t="shared" si="5"/>
        <v>2081904220.8200002</v>
      </c>
      <c r="AO17" s="21">
        <f t="shared" si="5"/>
        <v>457068600.53000003</v>
      </c>
      <c r="AP17" s="21">
        <f t="shared" si="5"/>
        <v>1943063981.7700002</v>
      </c>
      <c r="AQ17" s="21">
        <f t="shared" si="5"/>
        <v>2400132582.2999997</v>
      </c>
      <c r="AR17" s="21">
        <f t="shared" si="5"/>
        <v>488433833.5434998</v>
      </c>
      <c r="AS17" s="21">
        <f t="shared" si="5"/>
        <v>2082452303.41</v>
      </c>
      <c r="AT17" s="21">
        <f t="shared" si="5"/>
        <v>2570886136.9535</v>
      </c>
      <c r="AU17" s="21">
        <f t="shared" si="5"/>
        <v>818212413.2818413</v>
      </c>
      <c r="AV17" s="21">
        <f t="shared" si="5"/>
        <v>2117621926.1306915</v>
      </c>
      <c r="AW17" s="21">
        <f t="shared" si="5"/>
        <v>2935834339.4125333</v>
      </c>
      <c r="AX17" s="21">
        <f t="shared" si="5"/>
        <v>903323199.25</v>
      </c>
      <c r="AY17" s="21">
        <f t="shared" si="5"/>
        <v>2168322439.34</v>
      </c>
      <c r="AZ17" s="21">
        <f t="shared" si="5"/>
        <v>3071645638.59</v>
      </c>
      <c r="BA17" s="21">
        <f t="shared" si="5"/>
        <v>1301076511.8799999</v>
      </c>
      <c r="BB17" s="21">
        <f t="shared" si="5"/>
        <v>2291796755.74</v>
      </c>
      <c r="BC17" s="21">
        <f t="shared" si="5"/>
        <v>3592873267.6199994</v>
      </c>
      <c r="BD17" s="21">
        <f t="shared" si="5"/>
        <v>1746771682.25</v>
      </c>
      <c r="BE17" s="21">
        <f t="shared" si="5"/>
        <v>2337837401.21</v>
      </c>
      <c r="BF17" s="21">
        <f t="shared" si="5"/>
        <v>4084609083.4599996</v>
      </c>
      <c r="BG17" s="21">
        <f t="shared" si="5"/>
        <v>2149800934.12</v>
      </c>
      <c r="BH17" s="21">
        <f t="shared" si="5"/>
        <v>2386470066.35</v>
      </c>
      <c r="BI17" s="21">
        <f t="shared" si="5"/>
        <v>4536271000.469999</v>
      </c>
      <c r="BJ17" s="21">
        <f t="shared" si="5"/>
        <v>2777725161.2500005</v>
      </c>
      <c r="BK17" s="21">
        <f t="shared" si="5"/>
        <v>2416881060.2999997</v>
      </c>
      <c r="BL17" s="21">
        <f t="shared" si="5"/>
        <v>5194606221.55</v>
      </c>
      <c r="BM17" s="21">
        <f aca="true" t="shared" si="6" ref="BM17:BR17">SUM(BM18:BM24)</f>
        <v>2494830100.5</v>
      </c>
      <c r="BN17" s="21">
        <f t="shared" si="6"/>
        <v>2327122384</v>
      </c>
      <c r="BO17" s="21">
        <f t="shared" si="6"/>
        <v>4821952484.5</v>
      </c>
      <c r="BP17" s="21">
        <f t="shared" si="6"/>
        <v>1255266109.5479167</v>
      </c>
      <c r="BQ17" s="21">
        <f t="shared" si="6"/>
        <v>1366005439.4700003</v>
      </c>
      <c r="BR17" s="21">
        <f t="shared" si="6"/>
        <v>2621271549.017917</v>
      </c>
      <c r="BS17" s="21">
        <v>403970069.37</v>
      </c>
      <c r="BT17" s="21">
        <v>381425086.96</v>
      </c>
      <c r="BU17" s="21">
        <v>785395156.3299999</v>
      </c>
      <c r="BV17" s="21">
        <v>10026465.559999999</v>
      </c>
      <c r="BW17" s="21">
        <v>5397586.2</v>
      </c>
      <c r="BX17" s="21">
        <v>15424051.76</v>
      </c>
      <c r="BY17" s="21">
        <f>SUM(BY18:BY24)</f>
        <v>8434705.65</v>
      </c>
      <c r="BZ17" s="21">
        <f>SUM(BZ18:BZ24)</f>
        <v>4990304.08</v>
      </c>
      <c r="CA17" s="21">
        <f>+BY17+BZ17</f>
        <v>13425009.73</v>
      </c>
      <c r="CB17" s="21">
        <f>SUM(CB18:CB25)</f>
        <v>13617758.639999999</v>
      </c>
      <c r="CC17" s="21">
        <f>SUM(CC18:CC25)</f>
        <v>197852365.14</v>
      </c>
      <c r="CD17" s="21">
        <f>+CB17+CC17</f>
        <v>211470123.77999997</v>
      </c>
      <c r="CE17" s="21">
        <f>SUM(CE18:CE25)</f>
        <v>194925060.18</v>
      </c>
      <c r="CF17" s="21">
        <f>SUM(CF18:CF25)</f>
        <v>748928033.89</v>
      </c>
      <c r="CG17" s="21">
        <f>+CE17+CF17</f>
        <v>943853094.0699999</v>
      </c>
      <c r="CH17" s="21">
        <f>SUM(CH18:CH25)</f>
        <v>386245371.39</v>
      </c>
      <c r="CI17" s="21">
        <f>SUM(CI18:CI25)</f>
        <v>851639100.29</v>
      </c>
      <c r="CJ17" s="21">
        <f>+CH17+CI17</f>
        <v>1237884471.6799998</v>
      </c>
      <c r="CK17" s="21">
        <f>SUM(CK18:CK25)</f>
        <v>1659160467.51</v>
      </c>
      <c r="CL17" s="21">
        <f>SUM(CL18:CL25)</f>
        <v>2950493670.52</v>
      </c>
      <c r="CM17" s="21">
        <f>+CK17+CL17</f>
        <v>4609654138.03</v>
      </c>
    </row>
    <row r="18" spans="1:91" ht="15">
      <c r="A18" s="8" t="s">
        <v>151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>
        <v>2084150250.4</v>
      </c>
      <c r="R18" s="3">
        <f>40070958.1</f>
        <v>40070958.1</v>
      </c>
      <c r="S18" s="3">
        <f>+Q18+R18</f>
        <v>2124221208.5</v>
      </c>
      <c r="T18" s="3"/>
      <c r="U18" s="3">
        <v>254802487.32</v>
      </c>
      <c r="V18" s="3">
        <f>+T18+U18</f>
        <v>254802487.32</v>
      </c>
      <c r="W18" s="3"/>
      <c r="X18" s="3">
        <v>347231285.72</v>
      </c>
      <c r="Y18" s="3">
        <f>+W18+X18</f>
        <v>347231285.72</v>
      </c>
      <c r="Z18" s="3">
        <v>40136159.27</v>
      </c>
      <c r="AA18" s="3">
        <v>573553080.25</v>
      </c>
      <c r="AB18" s="3">
        <f>+Z18+AA18</f>
        <v>613689239.52</v>
      </c>
      <c r="AC18" s="3"/>
      <c r="AD18" s="3">
        <v>885084967.91</v>
      </c>
      <c r="AE18" s="3">
        <f>+AC18+AD18</f>
        <v>885084967.91</v>
      </c>
      <c r="AF18" s="3">
        <v>32921149.15</v>
      </c>
      <c r="AG18" s="3">
        <v>395820967.7</v>
      </c>
      <c r="AH18" s="3">
        <f>+AF18+AG18</f>
        <v>428742116.84999996</v>
      </c>
      <c r="AI18" s="3"/>
      <c r="AJ18" s="3">
        <v>862563515.81</v>
      </c>
      <c r="AK18" s="3">
        <f>+AI18+AJ18</f>
        <v>862563515.81</v>
      </c>
      <c r="AL18" s="3">
        <f>+'[1]INTRA'!$O$41</f>
        <v>0</v>
      </c>
      <c r="AM18" s="3">
        <f>+'[1]INTRA'!$N$41-804570.61</f>
        <v>1043177104.35</v>
      </c>
      <c r="AN18" s="3">
        <f aca="true" t="shared" si="7" ref="AN18:AN32">SUM(AL18:AM18)</f>
        <v>1043177104.35</v>
      </c>
      <c r="AO18" s="3">
        <f>+'[2]INTRA'!$O$41</f>
        <v>64393696.46000001</v>
      </c>
      <c r="AP18" s="11">
        <f>+'[2]INTRA'!$N$41-844574.51</f>
        <v>1257638799.8100002</v>
      </c>
      <c r="AQ18" s="3">
        <f aca="true" t="shared" si="8" ref="AQ18:AQ32">SUM(AO18:AP18)</f>
        <v>1322032496.2700002</v>
      </c>
      <c r="AR18" s="11">
        <f>+'[3]ANO_08'!N77</f>
        <v>20842118.27349996</v>
      </c>
      <c r="AS18" s="11">
        <f>+'[3]ANO_08'!O77-941581</f>
        <v>1359976327.94</v>
      </c>
      <c r="AT18" s="3">
        <f aca="true" t="shared" si="9" ref="AT18:AT32">SUM(AR18:AS18)</f>
        <v>1380818446.2135</v>
      </c>
      <c r="AU18" s="11">
        <f>+'[4]ANO_09'!N76</f>
        <v>302016103.64184135</v>
      </c>
      <c r="AV18" s="11">
        <f>+'[4]ANO_09'!O76-957732.13</f>
        <v>1397705757.6106915</v>
      </c>
      <c r="AW18" s="3">
        <f aca="true" t="shared" si="10" ref="AW18:AW32">SUM(AU18:AV18)</f>
        <v>1699721861.252533</v>
      </c>
      <c r="AX18" s="11">
        <v>397716971.4</v>
      </c>
      <c r="AY18" s="11">
        <v>1446979744.95</v>
      </c>
      <c r="AZ18" s="3">
        <f aca="true" t="shared" si="11" ref="AZ18:AZ44">SUM(AX18:AY18)</f>
        <v>1844696716.35</v>
      </c>
      <c r="BA18" s="11">
        <v>731516795.28</v>
      </c>
      <c r="BB18" s="11">
        <v>1541977035.08</v>
      </c>
      <c r="BC18" s="3">
        <f aca="true" t="shared" si="12" ref="BC18:BC41">SUM(BA18:BB18)</f>
        <v>2273493830.3599997</v>
      </c>
      <c r="BD18" s="85">
        <v>1127712141.83</v>
      </c>
      <c r="BE18" s="85">
        <v>1581997967.71</v>
      </c>
      <c r="BF18" s="85">
        <v>2709710109.5399995</v>
      </c>
      <c r="BG18" s="85">
        <v>1489679726.7499998</v>
      </c>
      <c r="BH18" s="85">
        <v>1623640467.88</v>
      </c>
      <c r="BI18" s="85">
        <v>3113320194.63</v>
      </c>
      <c r="BJ18" s="85">
        <v>2146119064.76</v>
      </c>
      <c r="BK18" s="85">
        <v>1648777297.75</v>
      </c>
      <c r="BL18" s="85">
        <f aca="true" t="shared" si="13" ref="BL18:BL23">+BJ18+BK18</f>
        <v>3794896362.51</v>
      </c>
      <c r="BM18" s="85">
        <v>1832779140.46</v>
      </c>
      <c r="BN18" s="85">
        <v>1542446373.21</v>
      </c>
      <c r="BO18" s="85">
        <v>3375225513.67</v>
      </c>
      <c r="BP18" s="85">
        <v>617311305.4279168</v>
      </c>
      <c r="BQ18" s="85">
        <v>586947372.2900001</v>
      </c>
      <c r="BR18" s="85">
        <v>1204258677.717917</v>
      </c>
      <c r="BS18" s="85">
        <v>196586311.95</v>
      </c>
      <c r="BT18" s="85">
        <v>139892925.54000002</v>
      </c>
      <c r="BU18" s="85">
        <v>336479237.49</v>
      </c>
      <c r="BV18" s="85">
        <v>0</v>
      </c>
      <c r="BW18" s="85">
        <v>30132.16</v>
      </c>
      <c r="BX18" s="85">
        <v>30132.16</v>
      </c>
      <c r="BY18" s="85">
        <v>0</v>
      </c>
      <c r="BZ18" s="85">
        <v>0</v>
      </c>
      <c r="CA18" s="85">
        <f>+BY18+BZ18</f>
        <v>0</v>
      </c>
      <c r="CB18" s="85">
        <v>0</v>
      </c>
      <c r="CC18" s="85">
        <v>0</v>
      </c>
      <c r="CD18" s="85">
        <f>+CB18+CC18</f>
        <v>0</v>
      </c>
      <c r="CE18" s="85">
        <v>0</v>
      </c>
      <c r="CF18" s="85">
        <v>187077125.99</v>
      </c>
      <c r="CG18" s="85">
        <f>+CE18+CF18</f>
        <v>187077125.99</v>
      </c>
      <c r="CH18" s="85">
        <v>0</v>
      </c>
      <c r="CI18" s="85">
        <v>1846330.6799999997</v>
      </c>
      <c r="CJ18" s="85">
        <f>+CH18+CI18</f>
        <v>1846330.6799999997</v>
      </c>
      <c r="CK18" s="28">
        <v>0</v>
      </c>
      <c r="CL18" s="28">
        <v>548865892.88</v>
      </c>
      <c r="CM18" s="85">
        <f>+CK18+CL18</f>
        <v>548865892.88</v>
      </c>
    </row>
    <row r="19" spans="1:91" ht="15">
      <c r="A19" s="12" t="s">
        <v>152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>
        <v>94300066.17</v>
      </c>
      <c r="U19" s="3">
        <v>215074246.75</v>
      </c>
      <c r="V19" s="3">
        <f aca="true" t="shared" si="14" ref="V19:V24">+T19+U19</f>
        <v>309374312.92</v>
      </c>
      <c r="W19" s="3">
        <v>155683317.53</v>
      </c>
      <c r="X19" s="3">
        <v>340824815.51</v>
      </c>
      <c r="Y19" s="3">
        <f aca="true" t="shared" si="15" ref="Y19:Y24">+W19+X19</f>
        <v>496508133.03999996</v>
      </c>
      <c r="Z19" s="3">
        <v>66018911.28</v>
      </c>
      <c r="AA19" s="3">
        <v>251552938.78</v>
      </c>
      <c r="AB19" s="3">
        <f aca="true" t="shared" si="16" ref="AB19:AB24">+Z19+AA19</f>
        <v>317571850.06</v>
      </c>
      <c r="AC19" s="3">
        <v>128604569.89</v>
      </c>
      <c r="AD19" s="3">
        <v>350094781.7</v>
      </c>
      <c r="AE19" s="3">
        <f aca="true" t="shared" si="17" ref="AE19:AE24">+AC19+AD19</f>
        <v>478699351.59</v>
      </c>
      <c r="AF19" s="3">
        <v>251320179.99</v>
      </c>
      <c r="AG19" s="3">
        <v>817193994.35</v>
      </c>
      <c r="AH19" s="3">
        <f aca="true" t="shared" si="18" ref="AH19:AH24">+AF19+AG19</f>
        <v>1068514174.34</v>
      </c>
      <c r="AI19" s="3">
        <v>192403895.92</v>
      </c>
      <c r="AJ19" s="3">
        <v>575254778.6</v>
      </c>
      <c r="AK19" s="3">
        <f aca="true" t="shared" si="19" ref="AK19:AK24">+AI19+AJ19</f>
        <v>767658674.52</v>
      </c>
      <c r="AL19" s="3">
        <f>+'[1]INTRA'!$O$43</f>
        <v>210676392.83</v>
      </c>
      <c r="AM19" s="3">
        <f>+'[1]INTRA'!$N$43</f>
        <v>581015108.4200001</v>
      </c>
      <c r="AN19" s="3">
        <f t="shared" si="7"/>
        <v>791691501.2500001</v>
      </c>
      <c r="AO19" s="3">
        <f>+'[2]INTRA'!$O$43</f>
        <v>234595832.29</v>
      </c>
      <c r="AP19" s="11">
        <f>+'[2]INTRA'!$N$43</f>
        <v>595668573.22</v>
      </c>
      <c r="AQ19" s="3">
        <f t="shared" si="8"/>
        <v>830264405.51</v>
      </c>
      <c r="AR19" s="11">
        <f>+'[3]ANO_08'!N78</f>
        <v>277283720.66999996</v>
      </c>
      <c r="AS19" s="11">
        <f>+'[3]ANO_08'!O78</f>
        <v>646808265.28</v>
      </c>
      <c r="AT19" s="3">
        <f t="shared" si="9"/>
        <v>924091985.9499999</v>
      </c>
      <c r="AU19" s="11">
        <f>+'[4]ANO_09'!N77</f>
        <v>307682633.63</v>
      </c>
      <c r="AV19" s="11">
        <f>+'[4]ANO_09'!O77</f>
        <v>658665118.5</v>
      </c>
      <c r="AW19" s="3">
        <f t="shared" si="10"/>
        <v>966347752.13</v>
      </c>
      <c r="AX19" s="11">
        <v>344707713.94000006</v>
      </c>
      <c r="AY19" s="11">
        <v>674540079.85</v>
      </c>
      <c r="AZ19" s="3">
        <f t="shared" si="11"/>
        <v>1019247793.7900001</v>
      </c>
      <c r="BA19" s="11">
        <v>399395436.8</v>
      </c>
      <c r="BB19" s="11">
        <v>713260765.82</v>
      </c>
      <c r="BC19" s="3">
        <f t="shared" si="12"/>
        <v>1112656202.6200001</v>
      </c>
      <c r="BD19" s="85">
        <v>449817862.37000006</v>
      </c>
      <c r="BE19" s="85">
        <v>730226717.0099999</v>
      </c>
      <c r="BF19" s="85">
        <v>1180044579.38</v>
      </c>
      <c r="BG19" s="85">
        <v>509073355.92</v>
      </c>
      <c r="BH19" s="85">
        <v>749104439.6700001</v>
      </c>
      <c r="BI19" s="85">
        <v>1258177795.5900002</v>
      </c>
      <c r="BJ19" s="85">
        <v>575028888.12</v>
      </c>
      <c r="BK19" s="85">
        <v>763664651.6299999</v>
      </c>
      <c r="BL19" s="85">
        <f t="shared" si="13"/>
        <v>1338693539.75</v>
      </c>
      <c r="BM19" s="85">
        <v>654557839.4100001</v>
      </c>
      <c r="BN19" s="85">
        <v>780348922.23</v>
      </c>
      <c r="BO19" s="85">
        <v>1434906761.64</v>
      </c>
      <c r="BP19" s="85">
        <v>631514613.01</v>
      </c>
      <c r="BQ19" s="85">
        <v>774770663.1400001</v>
      </c>
      <c r="BR19" s="85">
        <v>1406285276.15</v>
      </c>
      <c r="BS19" s="85">
        <v>204151972.79999998</v>
      </c>
      <c r="BT19" s="85">
        <v>238000747.6</v>
      </c>
      <c r="BU19" s="85">
        <v>442152720.4</v>
      </c>
      <c r="BV19" s="85">
        <v>0</v>
      </c>
      <c r="BW19" s="85">
        <v>0</v>
      </c>
      <c r="BX19" s="85">
        <v>0</v>
      </c>
      <c r="BY19" s="85">
        <v>0</v>
      </c>
      <c r="BZ19" s="85">
        <v>0</v>
      </c>
      <c r="CA19" s="85">
        <f aca="true" t="shared" si="20" ref="CA19:CA24">+BY19+BZ19</f>
        <v>0</v>
      </c>
      <c r="CB19" s="85">
        <v>0</v>
      </c>
      <c r="CC19" s="85">
        <v>98880183.88</v>
      </c>
      <c r="CD19" s="85">
        <f aca="true" t="shared" si="21" ref="CD19:CD25">+CB19+CC19</f>
        <v>98880183.88</v>
      </c>
      <c r="CE19" s="85">
        <v>0</v>
      </c>
      <c r="CF19" s="85">
        <v>279212164.98</v>
      </c>
      <c r="CG19" s="85">
        <f aca="true" t="shared" si="22" ref="CG19:CG25">+CE19+CF19</f>
        <v>279212164.98</v>
      </c>
      <c r="CH19" s="85">
        <v>0</v>
      </c>
      <c r="CI19" s="85">
        <v>0</v>
      </c>
      <c r="CJ19" s="85">
        <f aca="true" t="shared" si="23" ref="CJ19:CJ25">+CH19+CI19</f>
        <v>0</v>
      </c>
      <c r="CK19" s="28">
        <v>0</v>
      </c>
      <c r="CL19" s="28">
        <v>0</v>
      </c>
      <c r="CM19" s="85">
        <f aca="true" t="shared" si="24" ref="CM19:CM25">+CK19+CL19</f>
        <v>0</v>
      </c>
    </row>
    <row r="20" spans="1:91" ht="15">
      <c r="A20" s="13" t="s">
        <v>153</v>
      </c>
      <c r="B20" s="3"/>
      <c r="C20" s="3"/>
      <c r="D20" s="3"/>
      <c r="E20" s="3"/>
      <c r="F20" s="3">
        <f>282665.29+237472.01+330652.83+87203.32+37019.93+157799.19+383908.04</f>
        <v>1516720.61</v>
      </c>
      <c r="G20" s="3">
        <f>SUM(E20:F20)</f>
        <v>1516720.61</v>
      </c>
      <c r="H20" s="3"/>
      <c r="I20" s="3">
        <f>551387.32+542517.51+645489.84+170235.5+82543.45+351842.87+331532.46</f>
        <v>2675548.9499999997</v>
      </c>
      <c r="J20" s="3">
        <f>SUM(H20:I20)</f>
        <v>2675548.9499999997</v>
      </c>
      <c r="K20" s="3">
        <v>105265.39</v>
      </c>
      <c r="L20" s="3">
        <f>593911.36+643229.01+695234.16+183354.61+93506.75+398574.17+355227.37</f>
        <v>2963037.43</v>
      </c>
      <c r="M20" s="3">
        <f>SUM(K20:L20)</f>
        <v>3068302.8200000003</v>
      </c>
      <c r="N20" s="3">
        <v>113512.9</v>
      </c>
      <c r="O20" s="3">
        <f>656147.58+754530.01+745717.5+22200.47+196668.61+5854.94+106547.99+4481.46+454162.67+19102.33+373401.79+11220.52</f>
        <v>3350035.87</v>
      </c>
      <c r="P20" s="3">
        <f>SUM(N20:O20)</f>
        <v>3463548.77</v>
      </c>
      <c r="Q20" s="3">
        <v>181470.52</v>
      </c>
      <c r="R20" s="3">
        <f>947958.87+1261870.77+1072919.52+35509.28+283510.96+9364.89+179181.54+7167.25+763764.45+30550.57+524553.41+17575.35</f>
        <v>5133926.86</v>
      </c>
      <c r="S20" s="3">
        <f>SUM(Q20:R20)</f>
        <v>5315397.38</v>
      </c>
      <c r="T20" s="3">
        <v>538234.59</v>
      </c>
      <c r="U20" s="3">
        <f>1095114.89+1274506.1+1246362.53+34500.22+328704.06+4684.41+218304.12+7005.28+1129825.16+33632.02+598743.04+16720.99</f>
        <v>5988102.820000001</v>
      </c>
      <c r="V20" s="3">
        <f t="shared" si="14"/>
        <v>6526337.410000001</v>
      </c>
      <c r="W20" s="3">
        <f>718918.59+1922008.46</f>
        <v>2640927.05</v>
      </c>
      <c r="X20" s="3">
        <f>1335584.62+833620.48+1516657.88+47001.03+388679.84+11984.35+307420.98+9620.09+2044351.85+51108.81+655345.97+20343.62</f>
        <v>7221719.519999999</v>
      </c>
      <c r="Y20" s="3">
        <f t="shared" si="15"/>
        <v>9862646.569999998</v>
      </c>
      <c r="Z20" s="3">
        <f>904964.14+2419395.99</f>
        <v>3324360.1300000004</v>
      </c>
      <c r="AA20" s="3">
        <f>844225.22+2234592.84+938416.68+59186.06+209314.16+13193.05+188288.05+12114.09+2573400.05+64454.7+319650.28+20542.77</f>
        <v>7477377.949999999</v>
      </c>
      <c r="AB20" s="3">
        <f t="shared" si="16"/>
        <v>10801738.08</v>
      </c>
      <c r="AC20" s="3">
        <f>885395.78+898575.46+2367080.5</f>
        <v>4151051.74</v>
      </c>
      <c r="AD20" s="3">
        <f>637718.8+2186273.42+699831.79+57855.14+136522.97+11245.94+134988.52+11413.34+2517754.48+62943.88+185940.36+15668.39</f>
        <v>6658157.03</v>
      </c>
      <c r="AE20" s="3">
        <f t="shared" si="17"/>
        <v>10809208.77</v>
      </c>
      <c r="AF20" s="3">
        <f>3174469.08+837205.01+849667.35+2834186.75+2238243.86</f>
        <v>9933772.049999999</v>
      </c>
      <c r="AG20" s="3">
        <f>527691.67+2067277.83+557318+53268.89+93526.97+8941.68+92083.33+9074.8+2324636.26+58115.91+103927.81+10252.05</f>
        <v>5906115.199999999</v>
      </c>
      <c r="AH20" s="3">
        <f t="shared" si="18"/>
        <v>15839887.249999998</v>
      </c>
      <c r="AI20" s="3">
        <f>2676122.28+705775.66+716281.58+2389259.47+1886871.2</f>
        <v>8374310.19</v>
      </c>
      <c r="AJ20" s="3">
        <f>758541.96+1742744.42+721034.05+39428.67+111223.07+6105.93+110942.22+6196.81+1771482.9+44287.09+84804.33+4847.81</f>
        <v>5401639.259999999</v>
      </c>
      <c r="AK20" s="3">
        <f t="shared" si="19"/>
        <v>13775949.45</v>
      </c>
      <c r="AL20" s="3">
        <f>+'[1]INTRA'!$O$42</f>
        <v>6620768.16</v>
      </c>
      <c r="AM20" s="3">
        <f>+'[1]INTRA'!$N$42</f>
        <v>5179278.109999999</v>
      </c>
      <c r="AN20" s="3">
        <f t="shared" si="7"/>
        <v>11800046.27</v>
      </c>
      <c r="AO20" s="3">
        <f>+'[2]INTRA'!$O$42</f>
        <v>5174648.720000001</v>
      </c>
      <c r="AP20" s="11">
        <f>+'[2]INTRA'!$N$42</f>
        <v>4449981.48</v>
      </c>
      <c r="AQ20" s="3">
        <f t="shared" si="8"/>
        <v>9624630.200000001</v>
      </c>
      <c r="AR20" s="11">
        <f>+'[3]ANO_08'!N79</f>
        <v>5370627.640000001</v>
      </c>
      <c r="AS20" s="11">
        <f>+'[3]ANO_08'!O79</f>
        <v>3790624.57</v>
      </c>
      <c r="AT20" s="3">
        <f t="shared" si="9"/>
        <v>9161252.21</v>
      </c>
      <c r="AU20" s="11">
        <f>+'[4]ANO_09'!N78</f>
        <v>4773367.87</v>
      </c>
      <c r="AV20" s="11">
        <f>+'[4]ANO_09'!O78</f>
        <v>3284035.6399999997</v>
      </c>
      <c r="AW20" s="3">
        <f t="shared" si="10"/>
        <v>8057403.51</v>
      </c>
      <c r="AX20" s="11">
        <v>3607499.28</v>
      </c>
      <c r="AY20" s="11">
        <v>2130256.9699999997</v>
      </c>
      <c r="AZ20" s="3">
        <f t="shared" si="11"/>
        <v>5737756.25</v>
      </c>
      <c r="BA20" s="11">
        <v>3521451.7199999997</v>
      </c>
      <c r="BB20" s="11">
        <v>1898073.39</v>
      </c>
      <c r="BC20" s="3">
        <f t="shared" si="12"/>
        <v>5419525.109999999</v>
      </c>
      <c r="BD20" s="85">
        <v>2923848.77</v>
      </c>
      <c r="BE20" s="85">
        <v>2023168.21</v>
      </c>
      <c r="BF20" s="85">
        <v>4947016.9799999995</v>
      </c>
      <c r="BG20" s="85">
        <v>2064808.61</v>
      </c>
      <c r="BH20" s="85">
        <v>1985783.9400000002</v>
      </c>
      <c r="BI20" s="85">
        <v>4050592.5500000003</v>
      </c>
      <c r="BJ20" s="85">
        <v>1087451.65</v>
      </c>
      <c r="BK20" s="85">
        <v>1970093.49</v>
      </c>
      <c r="BL20" s="85">
        <f t="shared" si="13"/>
        <v>3057545.1399999997</v>
      </c>
      <c r="BM20" s="85"/>
      <c r="BN20" s="85">
        <v>2856875.7299999995</v>
      </c>
      <c r="BO20" s="85">
        <v>2856875.7299999995</v>
      </c>
      <c r="BP20" s="85">
        <v>0</v>
      </c>
      <c r="BQ20" s="85">
        <v>2931716.4000000004</v>
      </c>
      <c r="BR20" s="85">
        <v>2931716.4000000004</v>
      </c>
      <c r="BS20" s="85">
        <v>0</v>
      </c>
      <c r="BT20" s="85">
        <v>2893110.05</v>
      </c>
      <c r="BU20" s="85">
        <v>2893110.05</v>
      </c>
      <c r="BV20" s="85">
        <v>0</v>
      </c>
      <c r="BW20" s="85">
        <v>3483442.0700000003</v>
      </c>
      <c r="BX20" s="85">
        <v>3483442.0700000003</v>
      </c>
      <c r="BY20" s="85">
        <v>0</v>
      </c>
      <c r="BZ20" s="85">
        <v>4088061.2</v>
      </c>
      <c r="CA20" s="85">
        <f t="shared" si="20"/>
        <v>4088061.2</v>
      </c>
      <c r="CB20" s="85">
        <v>0</v>
      </c>
      <c r="CC20" s="85">
        <v>4992753.3100000005</v>
      </c>
      <c r="CD20" s="85">
        <f t="shared" si="21"/>
        <v>4992753.3100000005</v>
      </c>
      <c r="CE20" s="85">
        <v>0</v>
      </c>
      <c r="CF20" s="85">
        <v>4613880.359999999</v>
      </c>
      <c r="CG20" s="85">
        <f t="shared" si="22"/>
        <v>4613880.359999999</v>
      </c>
      <c r="CH20" s="85">
        <v>0</v>
      </c>
      <c r="CI20" s="85">
        <v>4321427.58</v>
      </c>
      <c r="CJ20" s="85">
        <f t="shared" si="23"/>
        <v>4321427.58</v>
      </c>
      <c r="CK20" s="28">
        <v>98892455.3</v>
      </c>
      <c r="CL20" s="28">
        <v>5770053.5200000005</v>
      </c>
      <c r="CM20" s="85">
        <f t="shared" si="24"/>
        <v>104662508.82</v>
      </c>
    </row>
    <row r="21" spans="1:91" ht="15">
      <c r="A21" s="12" t="s">
        <v>154</v>
      </c>
      <c r="B21" s="3"/>
      <c r="C21" s="3"/>
      <c r="D21" s="3"/>
      <c r="E21" s="3">
        <v>10769393.63</v>
      </c>
      <c r="F21" s="3">
        <f>23883903.11+529795.61</f>
        <v>24413698.72</v>
      </c>
      <c r="G21" s="3">
        <f>SUM(E21:F21)</f>
        <v>35183092.35</v>
      </c>
      <c r="H21" s="3">
        <v>13434857.14</v>
      </c>
      <c r="I21" s="3">
        <f>53686525.65+627377.56</f>
        <v>54313903.21</v>
      </c>
      <c r="J21" s="3">
        <f>SUM(H21:I21)</f>
        <v>67748760.35</v>
      </c>
      <c r="K21" s="3">
        <v>14862429.18</v>
      </c>
      <c r="L21" s="3">
        <f>60717261.08+597780.87</f>
        <v>61315041.949999996</v>
      </c>
      <c r="M21" s="3">
        <f>SUM(K21:L21)</f>
        <v>76177471.13</v>
      </c>
      <c r="N21" s="3">
        <v>17854587.47</v>
      </c>
      <c r="O21" s="3">
        <f>90324161.86+630606.57</f>
        <v>90954768.42999999</v>
      </c>
      <c r="P21" s="3">
        <f>SUM(N21:O21)</f>
        <v>108809355.89999999</v>
      </c>
      <c r="Q21" s="3">
        <v>21120573.71</v>
      </c>
      <c r="R21" s="3">
        <f>61530785.78+638232.62</f>
        <v>62169018.4</v>
      </c>
      <c r="S21" s="3">
        <f>SUM(Q21:R21)</f>
        <v>83289592.11</v>
      </c>
      <c r="T21" s="3">
        <v>24163965.71</v>
      </c>
      <c r="U21" s="3">
        <f>61890574.63+642547.6</f>
        <v>62533122.230000004</v>
      </c>
      <c r="V21" s="3">
        <f t="shared" si="14"/>
        <v>86697087.94</v>
      </c>
      <c r="W21" s="3">
        <v>27207359.45</v>
      </c>
      <c r="X21" s="3">
        <f>66480464.62+690199.83</f>
        <v>67170664.45</v>
      </c>
      <c r="Y21" s="3">
        <f t="shared" si="15"/>
        <v>94378023.9</v>
      </c>
      <c r="Z21" s="3">
        <v>36871293.29</v>
      </c>
      <c r="AA21" s="3">
        <f>77050453.13+800239.06</f>
        <v>77850692.19</v>
      </c>
      <c r="AB21" s="3">
        <f t="shared" si="16"/>
        <v>114721985.47999999</v>
      </c>
      <c r="AC21" s="3">
        <v>29574570.6</v>
      </c>
      <c r="AD21" s="3">
        <f>54615889.01+567010.4</f>
        <v>55182899.41</v>
      </c>
      <c r="AE21" s="3">
        <f t="shared" si="17"/>
        <v>84757470.00999999</v>
      </c>
      <c r="AF21" s="3">
        <v>40324410.63</v>
      </c>
      <c r="AG21" s="3">
        <f>63565859.52+659940.4</f>
        <v>64225799.92</v>
      </c>
      <c r="AH21" s="3">
        <f t="shared" si="18"/>
        <v>104550210.55000001</v>
      </c>
      <c r="AI21" s="3">
        <v>45559529.33</v>
      </c>
      <c r="AJ21" s="3">
        <f>60992180.72+633220.48</f>
        <v>61625401.199999996</v>
      </c>
      <c r="AK21" s="3">
        <f t="shared" si="19"/>
        <v>107184930.53</v>
      </c>
      <c r="AL21" s="3">
        <v>51467714.28</v>
      </c>
      <c r="AM21" s="3">
        <f>57814033.05+600224.99</f>
        <v>58414258.04</v>
      </c>
      <c r="AN21" s="3">
        <f t="shared" si="7"/>
        <v>109881972.32</v>
      </c>
      <c r="AO21" s="3">
        <v>57726612.79</v>
      </c>
      <c r="AP21" s="11">
        <f>53551342.08+555969.72</f>
        <v>54107311.8</v>
      </c>
      <c r="AQ21" s="3">
        <f t="shared" si="8"/>
        <v>111833924.59</v>
      </c>
      <c r="AR21" s="11">
        <f>+'[3]ANO_08'!N80</f>
        <v>64425212.77000001</v>
      </c>
      <c r="AS21" s="11">
        <f>+'[3]ANO_08'!O80</f>
        <v>48817881.39</v>
      </c>
      <c r="AT21" s="3">
        <f t="shared" si="9"/>
        <v>113243094.16000001</v>
      </c>
      <c r="AU21" s="11">
        <f>+'[4]ANO_09'!N79</f>
        <v>71968528.87</v>
      </c>
      <c r="AV21" s="11">
        <f>+'[4]ANO_09'!O79</f>
        <v>42813567.58</v>
      </c>
      <c r="AW21" s="3">
        <f t="shared" si="10"/>
        <v>114782096.45</v>
      </c>
      <c r="AX21" s="11">
        <v>79689686.78999999</v>
      </c>
      <c r="AY21" s="11">
        <v>35612160.53</v>
      </c>
      <c r="AZ21" s="3">
        <f t="shared" si="11"/>
        <v>115301847.32</v>
      </c>
      <c r="BA21" s="11">
        <v>88739656.72</v>
      </c>
      <c r="BB21" s="11">
        <v>27732121.500000004</v>
      </c>
      <c r="BC21" s="3">
        <f t="shared" si="12"/>
        <v>116471778.22</v>
      </c>
      <c r="BD21" s="85">
        <v>98631057.11</v>
      </c>
      <c r="BE21" s="85">
        <v>18802826.79</v>
      </c>
      <c r="BF21" s="85">
        <v>117433883.89999999</v>
      </c>
      <c r="BG21" s="85">
        <v>108936644.75999999</v>
      </c>
      <c r="BH21" s="85">
        <v>8709448.93</v>
      </c>
      <c r="BI21" s="85">
        <v>117646093.68999998</v>
      </c>
      <c r="BJ21" s="85">
        <v>29018347.300000004</v>
      </c>
      <c r="BK21" s="85">
        <v>475628.66</v>
      </c>
      <c r="BL21" s="85">
        <f t="shared" si="13"/>
        <v>29493975.960000005</v>
      </c>
      <c r="BM21" s="85">
        <v>0</v>
      </c>
      <c r="BN21" s="85">
        <v>0</v>
      </c>
      <c r="BO21" s="85">
        <v>0</v>
      </c>
      <c r="BP21" s="85">
        <v>0</v>
      </c>
      <c r="BQ21" s="85">
        <v>0</v>
      </c>
      <c r="BR21" s="85">
        <v>0</v>
      </c>
      <c r="BS21" s="85"/>
      <c r="BT21" s="85"/>
      <c r="BU21" s="85"/>
      <c r="BV21" s="85"/>
      <c r="BW21" s="85"/>
      <c r="BX21" s="85"/>
      <c r="BY21" s="85">
        <v>0</v>
      </c>
      <c r="BZ21" s="85">
        <v>0</v>
      </c>
      <c r="CA21" s="85">
        <f t="shared" si="20"/>
        <v>0</v>
      </c>
      <c r="CB21" s="85">
        <v>0</v>
      </c>
      <c r="CC21" s="85">
        <v>0</v>
      </c>
      <c r="CD21" s="85">
        <f t="shared" si="21"/>
        <v>0</v>
      </c>
      <c r="CE21" s="85">
        <v>0</v>
      </c>
      <c r="CF21" s="85">
        <v>0</v>
      </c>
      <c r="CG21" s="85">
        <f t="shared" si="22"/>
        <v>0</v>
      </c>
      <c r="CH21" s="85"/>
      <c r="CI21" s="85"/>
      <c r="CJ21" s="85">
        <f t="shared" si="23"/>
        <v>0</v>
      </c>
      <c r="CK21" s="85"/>
      <c r="CL21" s="85"/>
      <c r="CM21" s="85">
        <f t="shared" si="24"/>
        <v>0</v>
      </c>
    </row>
    <row r="22" spans="1:91" ht="15">
      <c r="A22" s="12" t="s">
        <v>155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>
        <v>8149802.69</v>
      </c>
      <c r="U22" s="3">
        <f>6432965.21+235118.2</f>
        <v>6668083.41</v>
      </c>
      <c r="V22" s="3">
        <f t="shared" si="14"/>
        <v>14817886.100000001</v>
      </c>
      <c r="W22" s="3">
        <v>16007337.6</v>
      </c>
      <c r="X22" s="3">
        <f>12188911.67+415252.07</f>
        <v>12604163.74</v>
      </c>
      <c r="Y22" s="3">
        <f t="shared" si="15"/>
        <v>28611501.34</v>
      </c>
      <c r="Z22" s="3">
        <v>18743512.58</v>
      </c>
      <c r="AA22" s="3">
        <f>12455261.86+453469.14</f>
        <v>12908731</v>
      </c>
      <c r="AB22" s="3">
        <f t="shared" si="16"/>
        <v>31652243.58</v>
      </c>
      <c r="AC22" s="3">
        <v>21813759.38</v>
      </c>
      <c r="AD22" s="3">
        <f>12080921.68+408445.47</f>
        <v>12489367.15</v>
      </c>
      <c r="AE22" s="3">
        <f t="shared" si="17"/>
        <v>34303126.53</v>
      </c>
      <c r="AF22" s="3">
        <v>6170740.25</v>
      </c>
      <c r="AG22" s="3">
        <f>11869523.96+446414.93</f>
        <v>12315938.89</v>
      </c>
      <c r="AH22" s="3">
        <f t="shared" si="18"/>
        <v>18486679.14</v>
      </c>
      <c r="AI22" s="3">
        <v>10278109.47</v>
      </c>
      <c r="AJ22" s="3">
        <f>11924027.25+448428.69</f>
        <v>12372455.94</v>
      </c>
      <c r="AK22" s="3">
        <f t="shared" si="19"/>
        <v>22650565.41</v>
      </c>
      <c r="AL22" s="3">
        <v>13248147.97</v>
      </c>
      <c r="AM22" s="3">
        <f>11968156.77+448681.46</f>
        <v>12416838.23</v>
      </c>
      <c r="AN22" s="3">
        <f t="shared" si="7"/>
        <v>25664986.200000003</v>
      </c>
      <c r="AO22" s="3">
        <v>25305781.36</v>
      </c>
      <c r="AP22" s="11">
        <f>11707479.76+441432.79</f>
        <v>12148912.549999999</v>
      </c>
      <c r="AQ22" s="3">
        <f t="shared" si="8"/>
        <v>37454693.91</v>
      </c>
      <c r="AR22" s="11">
        <f>+'[3]ANO_08'!N81</f>
        <v>48113618.08</v>
      </c>
      <c r="AS22" s="11">
        <f>+'[3]ANO_08'!O81</f>
        <v>11671038.61</v>
      </c>
      <c r="AT22" s="3">
        <f t="shared" si="9"/>
        <v>59784656.69</v>
      </c>
      <c r="AU22" s="11">
        <f>+'[4]ANO_09'!N80</f>
        <v>60614796.42</v>
      </c>
      <c r="AV22" s="11">
        <f>+'[4]ANO_09'!O80</f>
        <v>10485323.54</v>
      </c>
      <c r="AW22" s="3">
        <f t="shared" si="10"/>
        <v>71100119.96000001</v>
      </c>
      <c r="AX22" s="11">
        <v>75661399.49</v>
      </c>
      <c r="AY22" s="11">
        <v>8713643.319999998</v>
      </c>
      <c r="AZ22" s="3">
        <f t="shared" si="11"/>
        <v>84375042.80999999</v>
      </c>
      <c r="BA22" s="11">
        <v>75881500.57</v>
      </c>
      <c r="BB22" s="11">
        <v>6644166.8100000005</v>
      </c>
      <c r="BC22" s="3">
        <f t="shared" si="12"/>
        <v>82525667.38</v>
      </c>
      <c r="BD22" s="85">
        <v>65580101.99</v>
      </c>
      <c r="BE22" s="85">
        <v>4567364.299999999</v>
      </c>
      <c r="BF22" s="85">
        <v>70147466.28999999</v>
      </c>
      <c r="BG22" s="85">
        <v>37869311.97</v>
      </c>
      <c r="BH22" s="85">
        <v>2880562.18</v>
      </c>
      <c r="BI22" s="85">
        <v>40749874.15</v>
      </c>
      <c r="BJ22" s="85">
        <v>24213421.669999998</v>
      </c>
      <c r="BK22" s="85">
        <v>1916231.4900000002</v>
      </c>
      <c r="BL22" s="85">
        <f t="shared" si="13"/>
        <v>26129653.159999996</v>
      </c>
      <c r="BM22" s="85">
        <v>6458713.13</v>
      </c>
      <c r="BN22" s="85">
        <v>1449630.4099999997</v>
      </c>
      <c r="BO22" s="85">
        <v>7908343.539999999</v>
      </c>
      <c r="BP22" s="85">
        <v>6282746.750000001</v>
      </c>
      <c r="BQ22" s="85">
        <v>1355077.28</v>
      </c>
      <c r="BR22" s="85">
        <v>7637824.030000001</v>
      </c>
      <c r="BS22" s="85">
        <v>3231784.62</v>
      </c>
      <c r="BT22" s="85">
        <v>638303.7700000001</v>
      </c>
      <c r="BU22" s="85">
        <v>3870088.39</v>
      </c>
      <c r="BV22" s="85">
        <v>10026465.559999999</v>
      </c>
      <c r="BW22" s="85">
        <v>1884011.97</v>
      </c>
      <c r="BX22" s="85">
        <v>11910477.53</v>
      </c>
      <c r="BY22" s="28">
        <v>8434705.65</v>
      </c>
      <c r="BZ22" s="28">
        <v>902242.88</v>
      </c>
      <c r="CA22" s="85">
        <f t="shared" si="20"/>
        <v>9336948.530000001</v>
      </c>
      <c r="CB22" s="28">
        <v>6106343.68</v>
      </c>
      <c r="CC22" s="28">
        <v>687434.5200000001</v>
      </c>
      <c r="CD22" s="85">
        <f t="shared" si="21"/>
        <v>6793778.2</v>
      </c>
      <c r="CE22" s="28">
        <v>5108944.859999999</v>
      </c>
      <c r="CF22" s="28">
        <v>494496.27999999997</v>
      </c>
      <c r="CG22" s="85">
        <f t="shared" si="22"/>
        <v>5603441.14</v>
      </c>
      <c r="CH22" s="28"/>
      <c r="CI22" s="28"/>
      <c r="CJ22" s="85">
        <f t="shared" si="23"/>
        <v>0</v>
      </c>
      <c r="CK22" s="28"/>
      <c r="CL22" s="28"/>
      <c r="CM22" s="85">
        <f t="shared" si="24"/>
        <v>0</v>
      </c>
    </row>
    <row r="23" spans="1:91" ht="15">
      <c r="A23" s="12" t="s">
        <v>156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>
        <v>673211.23</v>
      </c>
      <c r="U23" s="3">
        <f>404798.68+12928.57</f>
        <v>417727.25</v>
      </c>
      <c r="V23" s="3">
        <f t="shared" si="14"/>
        <v>1090938.48</v>
      </c>
      <c r="W23" s="3">
        <v>1200068.78</v>
      </c>
      <c r="X23" s="3">
        <f>673764.21+21265.07</f>
        <v>695029.2799999999</v>
      </c>
      <c r="Y23" s="3">
        <f t="shared" si="15"/>
        <v>1895098.06</v>
      </c>
      <c r="Z23" s="3">
        <v>1270469.85</v>
      </c>
      <c r="AA23" s="3">
        <f>652275.76+20626.72</f>
        <v>672902.48</v>
      </c>
      <c r="AB23" s="3">
        <f t="shared" si="16"/>
        <v>1943372.33</v>
      </c>
      <c r="AC23" s="3">
        <v>1248193.88</v>
      </c>
      <c r="AD23" s="3">
        <f>585094.49+18469</f>
        <v>603563.49</v>
      </c>
      <c r="AE23" s="3">
        <f t="shared" si="17"/>
        <v>1851757.3699999999</v>
      </c>
      <c r="AF23" s="3">
        <v>1451495.45</v>
      </c>
      <c r="AG23" s="3">
        <f>608940.17+19302.62</f>
        <v>628242.79</v>
      </c>
      <c r="AH23" s="3">
        <f t="shared" si="18"/>
        <v>2079738.24</v>
      </c>
      <c r="AI23" s="3">
        <v>1531602.74</v>
      </c>
      <c r="AJ23" s="3">
        <f>574504.84+18226.85</f>
        <v>592731.69</v>
      </c>
      <c r="AK23" s="3">
        <f t="shared" si="19"/>
        <v>2124334.4299999997</v>
      </c>
      <c r="AL23" s="3">
        <v>1621845.52</v>
      </c>
      <c r="AM23" s="3">
        <f>538660.07+17111.11</f>
        <v>555771.1799999999</v>
      </c>
      <c r="AN23" s="3">
        <f t="shared" si="7"/>
        <v>2177616.7</v>
      </c>
      <c r="AO23" s="3">
        <v>1706173.03</v>
      </c>
      <c r="AP23" s="11">
        <f>495613.61+15769.6</f>
        <v>511383.20999999996</v>
      </c>
      <c r="AQ23" s="3">
        <f t="shared" si="8"/>
        <v>2217556.24</v>
      </c>
      <c r="AR23" s="11">
        <f>+'[3]ANO_08'!N82</f>
        <v>1782524.96</v>
      </c>
      <c r="AS23" s="11">
        <f>+'[3]ANO_08'!O82</f>
        <v>460079.21</v>
      </c>
      <c r="AT23" s="3">
        <f t="shared" si="9"/>
        <v>2242604.17</v>
      </c>
      <c r="AU23" s="11">
        <f>+'[4]ANO_09'!N81</f>
        <v>1869866.42</v>
      </c>
      <c r="AV23" s="11">
        <f>+'[4]ANO_09'!O81</f>
        <v>407144.5900000001</v>
      </c>
      <c r="AW23" s="3">
        <f t="shared" si="10"/>
        <v>2277011.01</v>
      </c>
      <c r="AX23" s="11">
        <v>1939928.3499999996</v>
      </c>
      <c r="AY23" s="11">
        <v>346553.72000000003</v>
      </c>
      <c r="AZ23" s="3">
        <f t="shared" si="11"/>
        <v>2286482.07</v>
      </c>
      <c r="BA23" s="11">
        <v>2021670.79</v>
      </c>
      <c r="BB23" s="11">
        <v>284593.14</v>
      </c>
      <c r="BC23" s="3">
        <f t="shared" si="12"/>
        <v>2306263.93</v>
      </c>
      <c r="BD23" s="85">
        <v>2106670.18</v>
      </c>
      <c r="BE23" s="85">
        <v>219357.18999999997</v>
      </c>
      <c r="BF23" s="85">
        <v>2326027.37</v>
      </c>
      <c r="BG23" s="85">
        <v>2177086.1099999994</v>
      </c>
      <c r="BH23" s="85">
        <v>149363.75000000003</v>
      </c>
      <c r="BI23" s="85">
        <v>2326449.86</v>
      </c>
      <c r="BJ23" s="85">
        <v>2257987.75</v>
      </c>
      <c r="BK23" s="85">
        <v>77157.28000000001</v>
      </c>
      <c r="BL23" s="85">
        <f t="shared" si="13"/>
        <v>2335145.03</v>
      </c>
      <c r="BM23" s="85">
        <v>1034407.5000000001</v>
      </c>
      <c r="BN23" s="85">
        <v>20582.42</v>
      </c>
      <c r="BO23" s="85">
        <v>1054989.9200000002</v>
      </c>
      <c r="BP23" s="85">
        <v>157444.36</v>
      </c>
      <c r="BQ23" s="85">
        <v>610.36</v>
      </c>
      <c r="BR23" s="85">
        <v>158054.71999999997</v>
      </c>
      <c r="BS23" s="85"/>
      <c r="BT23" s="85"/>
      <c r="BU23" s="85"/>
      <c r="BV23" s="85"/>
      <c r="BW23" s="85"/>
      <c r="BX23" s="85"/>
      <c r="BY23" s="85">
        <v>0</v>
      </c>
      <c r="BZ23" s="85">
        <v>0</v>
      </c>
      <c r="CA23" s="85">
        <f t="shared" si="20"/>
        <v>0</v>
      </c>
      <c r="CB23" s="85">
        <v>0</v>
      </c>
      <c r="CC23" s="85">
        <v>0</v>
      </c>
      <c r="CD23" s="85">
        <f t="shared" si="21"/>
        <v>0</v>
      </c>
      <c r="CE23" s="85">
        <v>0</v>
      </c>
      <c r="CF23" s="85">
        <v>0</v>
      </c>
      <c r="CG23" s="85">
        <f t="shared" si="22"/>
        <v>0</v>
      </c>
      <c r="CH23" s="85">
        <v>5333382.52</v>
      </c>
      <c r="CI23" s="85">
        <v>299212.18</v>
      </c>
      <c r="CJ23" s="85">
        <f t="shared" si="23"/>
        <v>5632594.699999999</v>
      </c>
      <c r="CK23" s="28">
        <v>4975559.5</v>
      </c>
      <c r="CL23" s="28">
        <v>116600.21000000002</v>
      </c>
      <c r="CM23" s="85">
        <f t="shared" si="24"/>
        <v>5092159.71</v>
      </c>
    </row>
    <row r="24" spans="1:91" ht="15">
      <c r="A24" s="14" t="s">
        <v>157</v>
      </c>
      <c r="B24" s="3"/>
      <c r="C24" s="3"/>
      <c r="D24" s="3"/>
      <c r="E24" s="3">
        <f>6682692.79+458266.44+10520521.81</f>
        <v>17661481.04</v>
      </c>
      <c r="F24" s="3">
        <f>13650643.33+432595.85+1235445.31+78254.2+32945653.7+1731238.16</f>
        <v>50073830.55</v>
      </c>
      <c r="G24" s="3">
        <f>SUM(E24:F24)</f>
        <v>67735311.59</v>
      </c>
      <c r="H24" s="3">
        <f>14843150.93+1679265.13+34357450.88</f>
        <v>50879866.94</v>
      </c>
      <c r="I24" s="3">
        <f>12937323.41+205055.55+13651707.18+82381.31+44158776.59+1832409.14</f>
        <v>72867653.18</v>
      </c>
      <c r="J24" s="3">
        <f>SUM(H24:I24)</f>
        <v>123747520.12</v>
      </c>
      <c r="K24" s="3">
        <f>15908657.68+1248358.46+30215918.42</f>
        <v>47372934.56</v>
      </c>
      <c r="L24" s="3">
        <f>126911056.1+411156.56+1516551.1+83137.76+946124168.3+1858262.12</f>
        <v>1076904331.9399998</v>
      </c>
      <c r="M24" s="3">
        <f>SUM(K24:L24)</f>
        <v>1124277266.4999998</v>
      </c>
      <c r="N24" s="3">
        <f>17160308.04+1340144.61+30229836.78</f>
        <v>48730289.43</v>
      </c>
      <c r="O24" s="3">
        <f>14542323.63+408681.56+1532422.98+83681.48+40489025.34+1865445.28</f>
        <v>58921580.27000001</v>
      </c>
      <c r="P24" s="3">
        <f>SUM(N24:O24)</f>
        <v>107651869.70000002</v>
      </c>
      <c r="Q24" s="3">
        <f>26048839.72+1456651.94+32318499.48</f>
        <v>59823991.14</v>
      </c>
      <c r="R24" s="3">
        <f>16278524.33+566116.43+123129.09+40612.43+39771040.45+1822237.82</f>
        <v>58601660.550000004</v>
      </c>
      <c r="S24" s="3">
        <f>SUM(Q24:R24)</f>
        <v>118425651.69</v>
      </c>
      <c r="T24" s="3">
        <f>27383933.45+1494354.54+33156559.98</f>
        <v>62034847.97</v>
      </c>
      <c r="U24" s="3">
        <f>19049312.94+543849.14+1412168.58+76285.05+65261785.38+1698446.84</f>
        <v>88041847.93</v>
      </c>
      <c r="V24" s="3">
        <f t="shared" si="14"/>
        <v>150076695.9</v>
      </c>
      <c r="W24" s="3">
        <f>33682093+1523102.7+33794126.11</f>
        <v>68999321.81</v>
      </c>
      <c r="X24" s="3">
        <f>15553419.43+597087.39+1186741.54+68843.38+33952106.22+1530393.6</f>
        <v>52888591.559999995</v>
      </c>
      <c r="Y24" s="3">
        <f t="shared" si="15"/>
        <v>121887913.37</v>
      </c>
      <c r="Z24" s="3">
        <f>21688485.81+776742.28+17303334.51</f>
        <v>39768562.6</v>
      </c>
      <c r="AA24" s="3">
        <f>8188910253.24+337121.85-8180530835.12+1078641.76+32059.77+28849570.43+731261.14</f>
        <v>39408073.07000027</v>
      </c>
      <c r="AB24" s="3">
        <f t="shared" si="16"/>
        <v>79176635.67000027</v>
      </c>
      <c r="AC24" s="3">
        <f>66432559.35+2431559.77+54012120.39</f>
        <v>122876239.51</v>
      </c>
      <c r="AD24" s="3">
        <f>7147461.13+945261.22+1176570.12+89486.19+31193271.74+2028706.96</f>
        <v>42580757.36</v>
      </c>
      <c r="AE24" s="3">
        <f t="shared" si="17"/>
        <v>165456996.87</v>
      </c>
      <c r="AF24" s="3">
        <f>22396255.01+831755.17+18454723.4</f>
        <v>41682733.58</v>
      </c>
      <c r="AG24" s="3">
        <f>5061558.45+274416.94+858284.16+25711.63+22646779.62+572666.37</f>
        <v>29439417.17</v>
      </c>
      <c r="AH24" s="3">
        <f t="shared" si="18"/>
        <v>71122150.75</v>
      </c>
      <c r="AI24" s="3">
        <f>53838213.67+2556661.89+56933221.91</f>
        <v>113328097.47</v>
      </c>
      <c r="AJ24" s="3">
        <f>7371068.81+549520.5+862079.33+66339.07+22682707.23+1475268.99</f>
        <v>33006983.929999996</v>
      </c>
      <c r="AK24" s="3">
        <f t="shared" si="19"/>
        <v>146335081.4</v>
      </c>
      <c r="AL24" s="3">
        <f>+'[1]INTRA'!$O$39</f>
        <v>72061776.02</v>
      </c>
      <c r="AM24" s="3">
        <f>+'[1]INTRA'!$N$39</f>
        <v>25449217.71</v>
      </c>
      <c r="AN24" s="3">
        <f t="shared" si="7"/>
        <v>97510993.72999999</v>
      </c>
      <c r="AO24" s="3">
        <f>+'[2]INTRA'!$O$39</f>
        <v>68165855.88</v>
      </c>
      <c r="AP24" s="11">
        <f>+'[2]INTRA'!$N$39</f>
        <v>18539019.7</v>
      </c>
      <c r="AQ24" s="3">
        <f t="shared" si="8"/>
        <v>86704875.58</v>
      </c>
      <c r="AR24" s="11">
        <f>+'[3]ANO_08'!N83</f>
        <v>70616011.15</v>
      </c>
      <c r="AS24" s="11">
        <f>+'[3]ANO_08'!O83</f>
        <v>10928086.41</v>
      </c>
      <c r="AT24" s="3">
        <f t="shared" si="9"/>
        <v>81544097.56</v>
      </c>
      <c r="AU24" s="11">
        <f>+'[4]ANO_09'!N82</f>
        <v>69287116.43</v>
      </c>
      <c r="AV24" s="11">
        <f>+'[4]ANO_09'!O82</f>
        <v>4260978.67</v>
      </c>
      <c r="AW24" s="3">
        <f t="shared" si="10"/>
        <v>73548095.10000001</v>
      </c>
      <c r="AX24" s="11">
        <v>0</v>
      </c>
      <c r="AY24" s="11">
        <v>0</v>
      </c>
      <c r="AZ24" s="3">
        <f t="shared" si="11"/>
        <v>0</v>
      </c>
      <c r="BA24" s="11"/>
      <c r="BB24" s="11"/>
      <c r="BC24" s="3">
        <f t="shared" si="12"/>
        <v>0</v>
      </c>
      <c r="BD24" s="82"/>
      <c r="BE24" s="83"/>
      <c r="BF24" s="83"/>
      <c r="BG24" s="82"/>
      <c r="BH24" s="83"/>
      <c r="BI24" s="83"/>
      <c r="BJ24" s="82"/>
      <c r="BK24" s="83"/>
      <c r="BL24" s="83"/>
      <c r="BM24" s="82"/>
      <c r="BN24" s="83"/>
      <c r="BO24" s="83"/>
      <c r="BP24" s="82"/>
      <c r="BQ24" s="83"/>
      <c r="BR24" s="83"/>
      <c r="BS24" s="82"/>
      <c r="BT24" s="83"/>
      <c r="BU24" s="83"/>
      <c r="BV24" s="85"/>
      <c r="BW24" s="85"/>
      <c r="BX24" s="85"/>
      <c r="BY24" s="85">
        <v>0</v>
      </c>
      <c r="BZ24" s="85">
        <v>0</v>
      </c>
      <c r="CA24" s="85">
        <f t="shared" si="20"/>
        <v>0</v>
      </c>
      <c r="CB24" s="85"/>
      <c r="CC24" s="85"/>
      <c r="CD24" s="85">
        <f t="shared" si="21"/>
        <v>0</v>
      </c>
      <c r="CE24" s="85"/>
      <c r="CF24" s="85"/>
      <c r="CG24" s="85">
        <f t="shared" si="22"/>
        <v>0</v>
      </c>
      <c r="CH24" s="85"/>
      <c r="CI24" s="85"/>
      <c r="CJ24" s="85">
        <f t="shared" si="23"/>
        <v>0</v>
      </c>
      <c r="CK24" s="28">
        <v>0</v>
      </c>
      <c r="CL24" s="28">
        <v>0</v>
      </c>
      <c r="CM24" s="85">
        <f t="shared" si="24"/>
        <v>0</v>
      </c>
    </row>
    <row r="25" spans="1:91" ht="15">
      <c r="A25" s="12" t="s">
        <v>263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11"/>
      <c r="AQ25" s="3"/>
      <c r="AR25" s="11"/>
      <c r="AS25" s="11"/>
      <c r="AT25" s="3"/>
      <c r="AU25" s="11"/>
      <c r="AV25" s="11"/>
      <c r="AW25" s="3"/>
      <c r="AX25" s="11"/>
      <c r="AY25" s="11"/>
      <c r="AZ25" s="3"/>
      <c r="BA25" s="11"/>
      <c r="BB25" s="11"/>
      <c r="BC25" s="3"/>
      <c r="BD25" s="82"/>
      <c r="BE25" s="83"/>
      <c r="BF25" s="83"/>
      <c r="BG25" s="82"/>
      <c r="BH25" s="83"/>
      <c r="BI25" s="83"/>
      <c r="BJ25" s="82"/>
      <c r="BK25" s="83"/>
      <c r="BL25" s="83"/>
      <c r="BM25" s="82"/>
      <c r="BN25" s="83"/>
      <c r="BO25" s="83"/>
      <c r="BP25" s="82"/>
      <c r="BQ25" s="83"/>
      <c r="BR25" s="83"/>
      <c r="BS25" s="82"/>
      <c r="BT25" s="83"/>
      <c r="BU25" s="83"/>
      <c r="BV25" s="85"/>
      <c r="BW25" s="85"/>
      <c r="BX25" s="85"/>
      <c r="BY25" s="85"/>
      <c r="BZ25" s="85"/>
      <c r="CA25" s="85"/>
      <c r="CB25" s="85">
        <v>7511414.959999999</v>
      </c>
      <c r="CC25" s="85">
        <v>93291993.43</v>
      </c>
      <c r="CD25" s="85">
        <f t="shared" si="21"/>
        <v>100803408.39</v>
      </c>
      <c r="CE25" s="85">
        <v>189816115.32</v>
      </c>
      <c r="CF25" s="85">
        <v>277530366.28</v>
      </c>
      <c r="CG25" s="85">
        <f t="shared" si="22"/>
        <v>467346481.59999996</v>
      </c>
      <c r="CH25" s="85">
        <v>380911988.87</v>
      </c>
      <c r="CI25" s="85">
        <v>845172129.8499999</v>
      </c>
      <c r="CJ25" s="85">
        <f t="shared" si="23"/>
        <v>1226084118.7199998</v>
      </c>
      <c r="CK25" s="28">
        <v>1555292452.71</v>
      </c>
      <c r="CL25" s="28">
        <v>2395741123.91</v>
      </c>
      <c r="CM25" s="85">
        <f t="shared" si="24"/>
        <v>3951033576.62</v>
      </c>
    </row>
    <row r="26" spans="1:91" s="5" customFormat="1" ht="15">
      <c r="A26" s="20" t="s">
        <v>4</v>
      </c>
      <c r="B26" s="21">
        <f aca="true" t="shared" si="25" ref="B26:J26">+B27+B65</f>
        <v>0</v>
      </c>
      <c r="C26" s="21">
        <f t="shared" si="25"/>
        <v>677243.83</v>
      </c>
      <c r="D26" s="21">
        <f t="shared" si="25"/>
        <v>677243.83</v>
      </c>
      <c r="E26" s="21">
        <f t="shared" si="25"/>
        <v>0</v>
      </c>
      <c r="F26" s="21">
        <f t="shared" si="25"/>
        <v>1643419.24</v>
      </c>
      <c r="G26" s="21">
        <f t="shared" si="25"/>
        <v>1643419.24</v>
      </c>
      <c r="H26" s="21">
        <f t="shared" si="25"/>
        <v>0</v>
      </c>
      <c r="I26" s="21">
        <f t="shared" si="25"/>
        <v>3373906.2</v>
      </c>
      <c r="J26" s="21">
        <f t="shared" si="25"/>
        <v>3373906.2</v>
      </c>
      <c r="K26" s="21">
        <f aca="true" t="shared" si="26" ref="K26:AK26">+K27+K65</f>
        <v>0</v>
      </c>
      <c r="L26" s="21">
        <f t="shared" si="26"/>
        <v>7726239.01</v>
      </c>
      <c r="M26" s="21">
        <f t="shared" si="26"/>
        <v>7726239.01</v>
      </c>
      <c r="N26" s="21">
        <f t="shared" si="26"/>
        <v>0</v>
      </c>
      <c r="O26" s="21">
        <f t="shared" si="26"/>
        <v>21213721.84</v>
      </c>
      <c r="P26" s="21">
        <f t="shared" si="26"/>
        <v>21213721.84</v>
      </c>
      <c r="Q26" s="21">
        <f t="shared" si="26"/>
        <v>0</v>
      </c>
      <c r="R26" s="21">
        <f t="shared" si="26"/>
        <v>68476911.08</v>
      </c>
      <c r="S26" s="21">
        <f t="shared" si="26"/>
        <v>68476911.08</v>
      </c>
      <c r="T26" s="21">
        <f t="shared" si="26"/>
        <v>0</v>
      </c>
      <c r="U26" s="21">
        <f t="shared" si="26"/>
        <v>71542143.85000001</v>
      </c>
      <c r="V26" s="21">
        <f t="shared" si="26"/>
        <v>71542143.85000001</v>
      </c>
      <c r="W26" s="21">
        <f t="shared" si="26"/>
        <v>19465269.23</v>
      </c>
      <c r="X26" s="21">
        <f t="shared" si="26"/>
        <v>98286576.62</v>
      </c>
      <c r="Y26" s="21">
        <f t="shared" si="26"/>
        <v>117751845.85000001</v>
      </c>
      <c r="Z26" s="21">
        <f t="shared" si="26"/>
        <v>196055446.20999998</v>
      </c>
      <c r="AA26" s="21">
        <f t="shared" si="26"/>
        <v>242312456.76</v>
      </c>
      <c r="AB26" s="21">
        <f t="shared" si="26"/>
        <v>438367902.97</v>
      </c>
      <c r="AC26" s="21">
        <f t="shared" si="26"/>
        <v>222133774.68</v>
      </c>
      <c r="AD26" s="21">
        <f t="shared" si="26"/>
        <v>272442095.78999996</v>
      </c>
      <c r="AE26" s="21">
        <f t="shared" si="26"/>
        <v>494575870.46999997</v>
      </c>
      <c r="AF26" s="21">
        <f t="shared" si="26"/>
        <v>412151559.27</v>
      </c>
      <c r="AG26" s="21">
        <f t="shared" si="26"/>
        <v>198460339.08999997</v>
      </c>
      <c r="AH26" s="21">
        <f t="shared" si="26"/>
        <v>610611898.3600001</v>
      </c>
      <c r="AI26" s="21">
        <f t="shared" si="26"/>
        <v>358897451.44</v>
      </c>
      <c r="AJ26" s="21">
        <f t="shared" si="26"/>
        <v>254045671.662</v>
      </c>
      <c r="AK26" s="21">
        <f t="shared" si="26"/>
        <v>612943123.102</v>
      </c>
      <c r="AL26" s="21">
        <f aca="true" t="shared" si="27" ref="AL26:BH26">+AL27+AL65</f>
        <v>350828537.52</v>
      </c>
      <c r="AM26" s="21">
        <f t="shared" si="27"/>
        <v>213174627.76</v>
      </c>
      <c r="AN26" s="21">
        <f t="shared" si="27"/>
        <v>564003165.28</v>
      </c>
      <c r="AO26" s="21">
        <f t="shared" si="27"/>
        <v>363091374.95000005</v>
      </c>
      <c r="AP26" s="21">
        <f t="shared" si="27"/>
        <v>193576359.52</v>
      </c>
      <c r="AQ26" s="21">
        <f t="shared" si="27"/>
        <v>556667734.47</v>
      </c>
      <c r="AR26" s="21">
        <f t="shared" si="27"/>
        <v>372242252.12999994</v>
      </c>
      <c r="AS26" s="21">
        <f t="shared" si="27"/>
        <v>176166756.74</v>
      </c>
      <c r="AT26" s="21">
        <f t="shared" si="27"/>
        <v>548409008.87</v>
      </c>
      <c r="AU26" s="21">
        <f t="shared" si="27"/>
        <v>400145258.43</v>
      </c>
      <c r="AV26" s="21">
        <f t="shared" si="27"/>
        <v>170630604.57000005</v>
      </c>
      <c r="AW26" s="21">
        <f t="shared" si="27"/>
        <v>570775863</v>
      </c>
      <c r="AX26" s="21">
        <f t="shared" si="27"/>
        <v>320196092.6</v>
      </c>
      <c r="AY26" s="21">
        <f t="shared" si="27"/>
        <v>162841062.11</v>
      </c>
      <c r="AZ26" s="21">
        <f t="shared" si="27"/>
        <v>483037154.71000004</v>
      </c>
      <c r="BA26" s="21">
        <f t="shared" si="27"/>
        <v>325462539.45</v>
      </c>
      <c r="BB26" s="21">
        <f t="shared" si="27"/>
        <v>174679193.04000002</v>
      </c>
      <c r="BC26" s="21">
        <f t="shared" si="27"/>
        <v>500141732.49000007</v>
      </c>
      <c r="BD26" s="21">
        <f t="shared" si="27"/>
        <v>540162002.81</v>
      </c>
      <c r="BE26" s="21">
        <f t="shared" si="27"/>
        <v>293012160.53999996</v>
      </c>
      <c r="BF26" s="21">
        <f t="shared" si="27"/>
        <v>833174163.35</v>
      </c>
      <c r="BG26" s="21">
        <f t="shared" si="27"/>
        <v>688054530.3700001</v>
      </c>
      <c r="BH26" s="21">
        <f t="shared" si="27"/>
        <v>542624402.0500001</v>
      </c>
      <c r="BI26" s="21">
        <f>+BG26+BH26</f>
        <v>1230678932.42</v>
      </c>
      <c r="BJ26" s="21">
        <f aca="true" t="shared" si="28" ref="BJ26:BR26">+BJ27+BJ65</f>
        <v>662115035.0400001</v>
      </c>
      <c r="BK26" s="21">
        <f t="shared" si="28"/>
        <v>813410269.73</v>
      </c>
      <c r="BL26" s="21">
        <f t="shared" si="28"/>
        <v>1475525304.77</v>
      </c>
      <c r="BM26" s="21">
        <f t="shared" si="28"/>
        <v>806275425.49</v>
      </c>
      <c r="BN26" s="21">
        <f t="shared" si="28"/>
        <v>1358207156.79</v>
      </c>
      <c r="BO26" s="21">
        <f t="shared" si="28"/>
        <v>2164482582.28</v>
      </c>
      <c r="BP26" s="21">
        <f t="shared" si="28"/>
        <v>858718695.9199998</v>
      </c>
      <c r="BQ26" s="21">
        <f t="shared" si="28"/>
        <v>1506257929.7919</v>
      </c>
      <c r="BR26" s="21">
        <f t="shared" si="28"/>
        <v>2364976625.7118998</v>
      </c>
      <c r="BS26" s="21">
        <v>478751423.56</v>
      </c>
      <c r="BT26" s="21">
        <v>512439662.15900004</v>
      </c>
      <c r="BU26" s="21">
        <v>991191085.719</v>
      </c>
      <c r="BV26" s="21">
        <v>445685103.93000007</v>
      </c>
      <c r="BW26" s="21">
        <v>107533736.24</v>
      </c>
      <c r="BX26" s="21">
        <v>553218840.17</v>
      </c>
      <c r="BY26" s="21">
        <f>+BY27+BY65</f>
        <v>547612472.33</v>
      </c>
      <c r="BZ26" s="21">
        <f>+BZ27+BZ65</f>
        <v>115011475</v>
      </c>
      <c r="CA26" s="21">
        <f>+BY26+BZ26</f>
        <v>662623947.33</v>
      </c>
      <c r="CB26" s="21">
        <f>+CB27+CB65</f>
        <v>356470469.65</v>
      </c>
      <c r="CC26" s="21">
        <f>+CC27+CC65</f>
        <v>167213895.27</v>
      </c>
      <c r="CD26" s="21">
        <f>+CB26+CC26</f>
        <v>523684364.91999996</v>
      </c>
      <c r="CE26" s="21">
        <f>+CE27+CE65</f>
        <v>293383688.3091345</v>
      </c>
      <c r="CF26" s="21">
        <f>+CF27+CF65</f>
        <v>72940659</v>
      </c>
      <c r="CG26" s="21">
        <f>+CE26+CF26</f>
        <v>366324347.3091345</v>
      </c>
      <c r="CH26" s="21">
        <f>+CH27+CH65</f>
        <v>303125641.17784154</v>
      </c>
      <c r="CI26" s="21">
        <f>+CI27+CI65</f>
        <v>76378891.19000001</v>
      </c>
      <c r="CJ26" s="21">
        <f>+CH26+CI26</f>
        <v>379504532.36784154</v>
      </c>
      <c r="CK26" s="21">
        <f>+CK27+CK65</f>
        <v>148324366.55659282</v>
      </c>
      <c r="CL26" s="21">
        <f>+CL27+CL65</f>
        <v>83095253.46999998</v>
      </c>
      <c r="CM26" s="21">
        <f aca="true" t="shared" si="29" ref="CM26:CM33">+CK26+CL26</f>
        <v>231419620.0265928</v>
      </c>
    </row>
    <row r="27" spans="1:91" s="5" customFormat="1" ht="15">
      <c r="A27" s="104" t="s">
        <v>5</v>
      </c>
      <c r="B27" s="105">
        <f aca="true" t="shared" si="30" ref="B27:J27">+B28+B29+B40+B47+B54+B57+B63</f>
        <v>0</v>
      </c>
      <c r="C27" s="105">
        <f t="shared" si="30"/>
        <v>0</v>
      </c>
      <c r="D27" s="105">
        <f t="shared" si="30"/>
        <v>0</v>
      </c>
      <c r="E27" s="105">
        <f t="shared" si="30"/>
        <v>0</v>
      </c>
      <c r="F27" s="105">
        <f t="shared" si="30"/>
        <v>0</v>
      </c>
      <c r="G27" s="105">
        <f t="shared" si="30"/>
        <v>0</v>
      </c>
      <c r="H27" s="105">
        <f t="shared" si="30"/>
        <v>0</v>
      </c>
      <c r="I27" s="105">
        <f t="shared" si="30"/>
        <v>0</v>
      </c>
      <c r="J27" s="105">
        <f t="shared" si="30"/>
        <v>0</v>
      </c>
      <c r="K27" s="105">
        <f aca="true" t="shared" si="31" ref="K27:AK27">+K28+K29+K40+K47+K54+K57+K63</f>
        <v>0</v>
      </c>
      <c r="L27" s="105">
        <f t="shared" si="31"/>
        <v>0</v>
      </c>
      <c r="M27" s="105">
        <f t="shared" si="31"/>
        <v>0</v>
      </c>
      <c r="N27" s="105">
        <f t="shared" si="31"/>
        <v>0</v>
      </c>
      <c r="O27" s="105">
        <f t="shared" si="31"/>
        <v>286954.43</v>
      </c>
      <c r="P27" s="105">
        <f t="shared" si="31"/>
        <v>286954.43</v>
      </c>
      <c r="Q27" s="105">
        <f t="shared" si="31"/>
        <v>0</v>
      </c>
      <c r="R27" s="105">
        <f t="shared" si="31"/>
        <v>598093.42</v>
      </c>
      <c r="S27" s="105">
        <f t="shared" si="31"/>
        <v>598093.42</v>
      </c>
      <c r="T27" s="105">
        <f t="shared" si="31"/>
        <v>0</v>
      </c>
      <c r="U27" s="105">
        <f t="shared" si="31"/>
        <v>1428924.93</v>
      </c>
      <c r="V27" s="105">
        <f t="shared" si="31"/>
        <v>1428924.93</v>
      </c>
      <c r="W27" s="105">
        <f t="shared" si="31"/>
        <v>0</v>
      </c>
      <c r="X27" s="105">
        <f t="shared" si="31"/>
        <v>2456021.9</v>
      </c>
      <c r="Y27" s="105">
        <f t="shared" si="31"/>
        <v>2456021.9</v>
      </c>
      <c r="Z27" s="105">
        <f t="shared" si="31"/>
        <v>88764692.25999999</v>
      </c>
      <c r="AA27" s="105">
        <f t="shared" si="31"/>
        <v>120444539.6</v>
      </c>
      <c r="AB27" s="105">
        <f t="shared" si="31"/>
        <v>209209231.86</v>
      </c>
      <c r="AC27" s="105">
        <f t="shared" si="31"/>
        <v>109670099.99</v>
      </c>
      <c r="AD27" s="105">
        <f t="shared" si="31"/>
        <v>142930393.77</v>
      </c>
      <c r="AE27" s="105">
        <f t="shared" si="31"/>
        <v>252600493.76</v>
      </c>
      <c r="AF27" s="105">
        <f t="shared" si="31"/>
        <v>217219070.37</v>
      </c>
      <c r="AG27" s="105">
        <f t="shared" si="31"/>
        <v>81964664.00999999</v>
      </c>
      <c r="AH27" s="105">
        <f t="shared" si="31"/>
        <v>299183734.38000005</v>
      </c>
      <c r="AI27" s="105">
        <f t="shared" si="31"/>
        <v>181753719.29</v>
      </c>
      <c r="AJ27" s="105">
        <f t="shared" si="31"/>
        <v>157154437.94</v>
      </c>
      <c r="AK27" s="105">
        <f t="shared" si="31"/>
        <v>338908157.22999996</v>
      </c>
      <c r="AL27" s="105">
        <f aca="true" t="shared" si="32" ref="AL27:BL27">+AL28+AL29+AL40+AL47+AL54+AL57+AL63</f>
        <v>194458311.95</v>
      </c>
      <c r="AM27" s="105">
        <f t="shared" si="32"/>
        <v>130045782.82</v>
      </c>
      <c r="AN27" s="105">
        <f t="shared" si="32"/>
        <v>324504094.77</v>
      </c>
      <c r="AO27" s="105">
        <f t="shared" si="32"/>
        <v>208706786.12</v>
      </c>
      <c r="AP27" s="105">
        <f t="shared" si="32"/>
        <v>111761934.34000002</v>
      </c>
      <c r="AQ27" s="105">
        <f t="shared" si="32"/>
        <v>320468720.46000004</v>
      </c>
      <c r="AR27" s="105">
        <f t="shared" si="32"/>
        <v>214446617.47999996</v>
      </c>
      <c r="AS27" s="105">
        <f t="shared" si="32"/>
        <v>101678539.31</v>
      </c>
      <c r="AT27" s="105">
        <f t="shared" si="32"/>
        <v>316125156.79</v>
      </c>
      <c r="AU27" s="105">
        <f t="shared" si="32"/>
        <v>216593730.7</v>
      </c>
      <c r="AV27" s="105">
        <f t="shared" si="32"/>
        <v>91235801.36000004</v>
      </c>
      <c r="AW27" s="105">
        <f t="shared" si="32"/>
        <v>307829532.06</v>
      </c>
      <c r="AX27" s="105">
        <f t="shared" si="32"/>
        <v>145869247.92</v>
      </c>
      <c r="AY27" s="105">
        <f t="shared" si="32"/>
        <v>100002768.58000001</v>
      </c>
      <c r="AZ27" s="105">
        <f t="shared" si="32"/>
        <v>245872016.5</v>
      </c>
      <c r="BA27" s="105">
        <f t="shared" si="32"/>
        <v>186088133.5</v>
      </c>
      <c r="BB27" s="105">
        <f t="shared" si="32"/>
        <v>115851022.83</v>
      </c>
      <c r="BC27" s="105">
        <f t="shared" si="32"/>
        <v>301939156.33000004</v>
      </c>
      <c r="BD27" s="105">
        <f t="shared" si="32"/>
        <v>385184419.55</v>
      </c>
      <c r="BE27" s="105">
        <f t="shared" si="32"/>
        <v>201076754.57999998</v>
      </c>
      <c r="BF27" s="105">
        <f t="shared" si="32"/>
        <v>586261174.13</v>
      </c>
      <c r="BG27" s="105">
        <f t="shared" si="32"/>
        <v>447805659.69000006</v>
      </c>
      <c r="BH27" s="105">
        <f t="shared" si="32"/>
        <v>422799873.28000003</v>
      </c>
      <c r="BI27" s="105">
        <f t="shared" si="32"/>
        <v>870605532.97</v>
      </c>
      <c r="BJ27" s="105">
        <f t="shared" si="32"/>
        <v>526472194.5500001</v>
      </c>
      <c r="BK27" s="105">
        <f t="shared" si="32"/>
        <v>679045466.3900001</v>
      </c>
      <c r="BL27" s="105">
        <f t="shared" si="32"/>
        <v>1205517660.94</v>
      </c>
      <c r="BM27" s="105">
        <f aca="true" t="shared" si="33" ref="BM27:BR27">+BM28+BM29+BM40+BM47+BM54+BM57+BM63</f>
        <v>553301301.36</v>
      </c>
      <c r="BN27" s="105">
        <f t="shared" si="33"/>
        <v>1148876745.78</v>
      </c>
      <c r="BO27" s="105">
        <f t="shared" si="33"/>
        <v>1702178047.14</v>
      </c>
      <c r="BP27" s="105">
        <f t="shared" si="33"/>
        <v>383328922.0799999</v>
      </c>
      <c r="BQ27" s="105">
        <f t="shared" si="33"/>
        <v>1243957164.84</v>
      </c>
      <c r="BR27" s="105">
        <f t="shared" si="33"/>
        <v>1627286086.9199998</v>
      </c>
      <c r="BS27" s="105">
        <v>329834380.56</v>
      </c>
      <c r="BT27" s="105">
        <v>437001053.6575</v>
      </c>
      <c r="BU27" s="105">
        <v>766835434.2175</v>
      </c>
      <c r="BV27" s="105">
        <v>445685103.93000007</v>
      </c>
      <c r="BW27" s="105">
        <v>107533736.24</v>
      </c>
      <c r="BX27" s="105">
        <v>553218840.17</v>
      </c>
      <c r="BY27" s="105">
        <f>+BY29+BY40+BY47+BY54+BY57+BY61+BY63</f>
        <v>547612472.33</v>
      </c>
      <c r="BZ27" s="105">
        <f>+BZ29+BZ40+BZ47+BZ54+BZ57+BZ61+BZ63</f>
        <v>115011475</v>
      </c>
      <c r="CA27" s="105">
        <f>+BY27+BZ27</f>
        <v>662623947.33</v>
      </c>
      <c r="CB27" s="105">
        <f>+CB29+CB40+CB47+CB54+CB57+CB61+CB63</f>
        <v>355964610.77</v>
      </c>
      <c r="CC27" s="105">
        <f>+CC29+CC40+CC47+CC54+CC57+CC61+CC63</f>
        <v>167131702.93</v>
      </c>
      <c r="CD27" s="105">
        <f>+CB27+CC27</f>
        <v>523096313.7</v>
      </c>
      <c r="CE27" s="105">
        <f>+CE29+CE40+CE47+CE54+CE57+CE61+CE63</f>
        <v>293383688.3091345</v>
      </c>
      <c r="CF27" s="105">
        <f>+CF29+CF40+CF47+CF54+CF57+CF61+CF63</f>
        <v>72940659</v>
      </c>
      <c r="CG27" s="105">
        <f>+CE27+CF27</f>
        <v>366324347.3091345</v>
      </c>
      <c r="CH27" s="105">
        <f>+CH29+CH40+CH47+CH54+CH57+CH61+CH63</f>
        <v>303125641.17784154</v>
      </c>
      <c r="CI27" s="105">
        <f>+CI29+CI40+CI47+CI54+CI57+CI61+CI63</f>
        <v>76378891.19000001</v>
      </c>
      <c r="CJ27" s="105">
        <f>+CH27+CI27</f>
        <v>379504532.36784154</v>
      </c>
      <c r="CK27" s="105">
        <f>+CK29+CK40+CK47+CK54+CK57+CK61+CK63</f>
        <v>148324366.55659282</v>
      </c>
      <c r="CL27" s="105">
        <f>+CL29+CL40+CL47+CL54+CL57+CL61+CL63</f>
        <v>83095253.46999998</v>
      </c>
      <c r="CM27" s="105">
        <f t="shared" si="29"/>
        <v>231419620.0265928</v>
      </c>
    </row>
    <row r="28" spans="1:91" ht="15">
      <c r="A28" s="13" t="s">
        <v>158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v>142637.43</v>
      </c>
      <c r="P28" s="3">
        <f>SUM(N28:O28)</f>
        <v>142637.43</v>
      </c>
      <c r="Q28" s="3"/>
      <c r="R28" s="3">
        <v>59.84</v>
      </c>
      <c r="S28" s="3">
        <f>SUM(Q28:R28)</f>
        <v>59.84</v>
      </c>
      <c r="T28" s="3"/>
      <c r="U28" s="3"/>
      <c r="V28" s="3"/>
      <c r="W28" s="3"/>
      <c r="X28" s="3"/>
      <c r="Y28" s="3"/>
      <c r="Z28" s="3">
        <v>85097059.19</v>
      </c>
      <c r="AA28" s="3">
        <f>114331715.23+2725962</f>
        <v>117057677.23</v>
      </c>
      <c r="AB28" s="3">
        <f>SUM(Z28:AA28)</f>
        <v>202154736.42000002</v>
      </c>
      <c r="AC28" s="3">
        <v>100569251.77</v>
      </c>
      <c r="AD28" s="3">
        <f>128729532.18+633369.88</f>
        <v>129362902.06</v>
      </c>
      <c r="AE28" s="3">
        <f>SUM(AC28:AD28)</f>
        <v>229932153.82999998</v>
      </c>
      <c r="AF28" s="3">
        <v>92833155.48</v>
      </c>
      <c r="AG28" s="3">
        <f>77785846.61+502389.88</f>
        <v>78288236.49</v>
      </c>
      <c r="AH28" s="3">
        <f>SUM(AF28:AG28)</f>
        <v>171121391.97</v>
      </c>
      <c r="AI28" s="3">
        <v>92833155.43</v>
      </c>
      <c r="AJ28" s="3">
        <f>73954688.58+432393.8</f>
        <v>74387082.38</v>
      </c>
      <c r="AK28" s="3">
        <f>SUM(AI28:AJ28)</f>
        <v>167220237.81</v>
      </c>
      <c r="AL28" s="3">
        <f>+'[1]INTRA'!$O$47</f>
        <v>92833155.48</v>
      </c>
      <c r="AM28" s="3">
        <f>+'[1]INTRA'!$N$47</f>
        <v>47166520.650000006</v>
      </c>
      <c r="AN28" s="3">
        <f t="shared" si="7"/>
        <v>139999676.13</v>
      </c>
      <c r="AO28" s="3">
        <f>+'[2]INTRA'!$O$47</f>
        <v>92833155.48</v>
      </c>
      <c r="AP28" s="11">
        <f>+'[2]INTRA'!$N$47</f>
        <v>27036748.17</v>
      </c>
      <c r="AQ28" s="3">
        <f t="shared" si="8"/>
        <v>119869903.65</v>
      </c>
      <c r="AR28" s="11">
        <f>+'[3]ANO_08'!N86</f>
        <v>92833155.47999999</v>
      </c>
      <c r="AS28" s="11">
        <f>+'[3]ANO_08'!O86</f>
        <v>16743102.23</v>
      </c>
      <c r="AT28" s="3">
        <f t="shared" si="9"/>
        <v>109576257.71</v>
      </c>
      <c r="AU28" s="11">
        <f>+'[4]ANO_09'!N85</f>
        <v>92833155.47</v>
      </c>
      <c r="AV28" s="11">
        <f>+'[4]ANO_09'!O85</f>
        <v>5156411.310000038</v>
      </c>
      <c r="AW28" s="3">
        <f t="shared" si="10"/>
        <v>97989566.78000003</v>
      </c>
      <c r="AX28" s="11">
        <v>0</v>
      </c>
      <c r="AY28" s="11">
        <v>0</v>
      </c>
      <c r="AZ28" s="3">
        <f t="shared" si="11"/>
        <v>0</v>
      </c>
      <c r="BA28" s="11"/>
      <c r="BB28" s="11"/>
      <c r="BC28" s="3"/>
      <c r="BD28" s="83"/>
      <c r="BE28" s="83"/>
      <c r="BF28" s="84"/>
      <c r="BG28" s="83"/>
      <c r="BH28" s="83"/>
      <c r="BI28" s="84"/>
      <c r="BJ28" s="83"/>
      <c r="BK28" s="83"/>
      <c r="BL28" s="84"/>
      <c r="BM28" s="83"/>
      <c r="BN28" s="83"/>
      <c r="BO28" s="84"/>
      <c r="BP28" s="83"/>
      <c r="BQ28" s="83"/>
      <c r="BR28" s="84"/>
      <c r="BS28" s="83"/>
      <c r="BT28" s="83"/>
      <c r="BU28" s="84"/>
      <c r="BV28" s="83"/>
      <c r="BW28" s="83"/>
      <c r="BX28" s="84"/>
      <c r="BY28" s="85">
        <v>0</v>
      </c>
      <c r="BZ28" s="85">
        <v>0</v>
      </c>
      <c r="CA28" s="85">
        <f>+BY28+BZ28</f>
        <v>0</v>
      </c>
      <c r="CB28" s="85">
        <v>0</v>
      </c>
      <c r="CC28" s="85">
        <v>0</v>
      </c>
      <c r="CD28" s="85">
        <f>+CB28+CC28</f>
        <v>0</v>
      </c>
      <c r="CE28" s="85">
        <v>0</v>
      </c>
      <c r="CF28" s="85">
        <v>0</v>
      </c>
      <c r="CG28" s="85">
        <f>+CE28+CF28</f>
        <v>0</v>
      </c>
      <c r="CH28" s="85">
        <v>0</v>
      </c>
      <c r="CI28" s="85">
        <v>0</v>
      </c>
      <c r="CJ28" s="85">
        <f>+CH28+CI28</f>
        <v>0</v>
      </c>
      <c r="CK28" s="85">
        <v>0</v>
      </c>
      <c r="CL28" s="85">
        <v>0</v>
      </c>
      <c r="CM28" s="85">
        <f t="shared" si="29"/>
        <v>0</v>
      </c>
    </row>
    <row r="29" spans="1:91" ht="15">
      <c r="A29" s="20" t="s">
        <v>138</v>
      </c>
      <c r="B29" s="21">
        <f aca="true" t="shared" si="34" ref="B29:AK29">SUM(B30:B35)</f>
        <v>0</v>
      </c>
      <c r="C29" s="21">
        <f t="shared" si="34"/>
        <v>0</v>
      </c>
      <c r="D29" s="21">
        <f t="shared" si="34"/>
        <v>0</v>
      </c>
      <c r="E29" s="21">
        <f t="shared" si="34"/>
        <v>0</v>
      </c>
      <c r="F29" s="21">
        <f t="shared" si="34"/>
        <v>0</v>
      </c>
      <c r="G29" s="21">
        <f t="shared" si="34"/>
        <v>0</v>
      </c>
      <c r="H29" s="21">
        <f t="shared" si="34"/>
        <v>0</v>
      </c>
      <c r="I29" s="21">
        <f t="shared" si="34"/>
        <v>0</v>
      </c>
      <c r="J29" s="21">
        <f t="shared" si="34"/>
        <v>0</v>
      </c>
      <c r="K29" s="21">
        <f t="shared" si="34"/>
        <v>0</v>
      </c>
      <c r="L29" s="21">
        <f t="shared" si="34"/>
        <v>0</v>
      </c>
      <c r="M29" s="21">
        <f t="shared" si="34"/>
        <v>0</v>
      </c>
      <c r="N29" s="21">
        <f t="shared" si="34"/>
        <v>0</v>
      </c>
      <c r="O29" s="21">
        <f t="shared" si="34"/>
        <v>0</v>
      </c>
      <c r="P29" s="21">
        <f t="shared" si="34"/>
        <v>0</v>
      </c>
      <c r="Q29" s="21">
        <f t="shared" si="34"/>
        <v>0</v>
      </c>
      <c r="R29" s="21">
        <f t="shared" si="34"/>
        <v>0</v>
      </c>
      <c r="S29" s="21">
        <f t="shared" si="34"/>
        <v>0</v>
      </c>
      <c r="T29" s="21">
        <f t="shared" si="34"/>
        <v>0</v>
      </c>
      <c r="U29" s="21">
        <f t="shared" si="34"/>
        <v>0</v>
      </c>
      <c r="V29" s="21">
        <f t="shared" si="34"/>
        <v>0</v>
      </c>
      <c r="W29" s="21">
        <f t="shared" si="34"/>
        <v>0</v>
      </c>
      <c r="X29" s="21">
        <f t="shared" si="34"/>
        <v>0</v>
      </c>
      <c r="Y29" s="21">
        <f t="shared" si="34"/>
        <v>0</v>
      </c>
      <c r="Z29" s="21">
        <f t="shared" si="34"/>
        <v>0</v>
      </c>
      <c r="AA29" s="21">
        <f t="shared" si="34"/>
        <v>0</v>
      </c>
      <c r="AB29" s="21">
        <f t="shared" si="34"/>
        <v>0</v>
      </c>
      <c r="AC29" s="21">
        <f t="shared" si="34"/>
        <v>0</v>
      </c>
      <c r="AD29" s="21">
        <f t="shared" si="34"/>
        <v>9300000</v>
      </c>
      <c r="AE29" s="21">
        <f t="shared" si="34"/>
        <v>9300000</v>
      </c>
      <c r="AF29" s="21">
        <f t="shared" si="34"/>
        <v>111600000</v>
      </c>
      <c r="AG29" s="21">
        <f t="shared" si="34"/>
        <v>0</v>
      </c>
      <c r="AH29" s="21">
        <f t="shared" si="34"/>
        <v>111600000</v>
      </c>
      <c r="AI29" s="21">
        <f t="shared" si="34"/>
        <v>72037834.32</v>
      </c>
      <c r="AJ29" s="21">
        <f t="shared" si="34"/>
        <v>79872337.28</v>
      </c>
      <c r="AK29" s="21">
        <f t="shared" si="34"/>
        <v>151910171.6</v>
      </c>
      <c r="AL29" s="21">
        <f>SUM(AL30:AL35)</f>
        <v>82976245.78</v>
      </c>
      <c r="AM29" s="21">
        <f aca="true" t="shared" si="35" ref="AM29:BI29">SUM(AM30:AM35)</f>
        <v>79760777.85</v>
      </c>
      <c r="AN29" s="21">
        <f t="shared" si="35"/>
        <v>162737023.63</v>
      </c>
      <c r="AO29" s="21">
        <f t="shared" si="35"/>
        <v>92307606.89000002</v>
      </c>
      <c r="AP29" s="21">
        <f t="shared" si="35"/>
        <v>81666643.37</v>
      </c>
      <c r="AQ29" s="21">
        <f t="shared" si="35"/>
        <v>173974250.26000002</v>
      </c>
      <c r="AR29" s="21">
        <f t="shared" si="35"/>
        <v>94433706</v>
      </c>
      <c r="AS29" s="21">
        <f t="shared" si="35"/>
        <v>82357755.58</v>
      </c>
      <c r="AT29" s="21">
        <f t="shared" si="35"/>
        <v>176791461.58</v>
      </c>
      <c r="AU29" s="21">
        <f t="shared" si="35"/>
        <v>94961290.85999998</v>
      </c>
      <c r="AV29" s="21">
        <f t="shared" si="35"/>
        <v>82374895.65</v>
      </c>
      <c r="AW29" s="21">
        <f t="shared" si="35"/>
        <v>177336186.51</v>
      </c>
      <c r="AX29" s="21">
        <f t="shared" si="35"/>
        <v>112812488.41999999</v>
      </c>
      <c r="AY29" s="21">
        <f t="shared" si="35"/>
        <v>84632470.24000001</v>
      </c>
      <c r="AZ29" s="21">
        <f t="shared" si="35"/>
        <v>197444958.66</v>
      </c>
      <c r="BA29" s="21">
        <f t="shared" si="35"/>
        <v>125863741.38</v>
      </c>
      <c r="BB29" s="21">
        <f t="shared" si="35"/>
        <v>74796886.45</v>
      </c>
      <c r="BC29" s="21">
        <f t="shared" si="35"/>
        <v>200660627.83</v>
      </c>
      <c r="BD29" s="21">
        <f t="shared" si="35"/>
        <v>137536331.13</v>
      </c>
      <c r="BE29" s="21">
        <f t="shared" si="35"/>
        <v>76441574.31</v>
      </c>
      <c r="BF29" s="21">
        <f t="shared" si="35"/>
        <v>213977905.44</v>
      </c>
      <c r="BG29" s="21">
        <f t="shared" si="35"/>
        <v>140764974.28000003</v>
      </c>
      <c r="BH29" s="21">
        <f t="shared" si="35"/>
        <v>109937573.01999998</v>
      </c>
      <c r="BI29" s="21">
        <f t="shared" si="35"/>
        <v>250702547.29999995</v>
      </c>
      <c r="BJ29" s="21">
        <f aca="true" t="shared" si="36" ref="BJ29:BO29">SUM(BJ30:BJ37)</f>
        <v>164650090.50000003</v>
      </c>
      <c r="BK29" s="21">
        <f t="shared" si="36"/>
        <v>218694964.77</v>
      </c>
      <c r="BL29" s="21">
        <f t="shared" si="36"/>
        <v>383345055.27</v>
      </c>
      <c r="BM29" s="21">
        <f t="shared" si="36"/>
        <v>192620227.54999998</v>
      </c>
      <c r="BN29" s="21">
        <f t="shared" si="36"/>
        <v>334901676.71000004</v>
      </c>
      <c r="BO29" s="21">
        <f t="shared" si="36"/>
        <v>527521904.26000005</v>
      </c>
      <c r="BP29" s="21">
        <f>SUM(BP30:BP39)</f>
        <v>103580204.63999999</v>
      </c>
      <c r="BQ29" s="21">
        <f>SUM(BQ30:BQ39)</f>
        <v>470633252.81999993</v>
      </c>
      <c r="BR29" s="21">
        <f>SUM(BR30:BR39)</f>
        <v>574213457.4599999</v>
      </c>
      <c r="BS29" s="21">
        <v>130708061.62</v>
      </c>
      <c r="BT29" s="21">
        <v>241950779.5417</v>
      </c>
      <c r="BU29" s="21">
        <v>372658841.16169995</v>
      </c>
      <c r="BV29" s="21">
        <v>111754447.1</v>
      </c>
      <c r="BW29" s="21">
        <v>35518835.86</v>
      </c>
      <c r="BX29" s="21">
        <v>147273282.96</v>
      </c>
      <c r="BY29" s="21">
        <f>SUM(BY30:BY39)</f>
        <v>119056716.28000002</v>
      </c>
      <c r="BZ29" s="21">
        <f>SUM(BZ30:BZ39)</f>
        <v>50433388.43000001</v>
      </c>
      <c r="CA29" s="21">
        <f>+BY29+BZ29</f>
        <v>169490104.71000004</v>
      </c>
      <c r="CB29" s="21">
        <f>SUM(CB30:CB39)</f>
        <v>105340210.23000002</v>
      </c>
      <c r="CC29" s="21">
        <f>SUM(CC30:CC39)</f>
        <v>100089789.08999999</v>
      </c>
      <c r="CD29" s="21">
        <f>+CB29+CC29</f>
        <v>205429999.32</v>
      </c>
      <c r="CE29" s="21">
        <f>SUM(CE30:CE39)</f>
        <v>37593721.8</v>
      </c>
      <c r="CF29" s="21">
        <f>SUM(CF30:CF39)</f>
        <v>4127514.3</v>
      </c>
      <c r="CG29" s="21">
        <f>+CE29+CF29</f>
        <v>41721236.099999994</v>
      </c>
      <c r="CH29" s="21">
        <f>SUM(CH30:CH39)</f>
        <v>34218227.730000004</v>
      </c>
      <c r="CI29" s="21">
        <f>SUM(CI30:CI39)</f>
        <v>2080827.7</v>
      </c>
      <c r="CJ29" s="21">
        <f>+CH29+CI29</f>
        <v>36299055.43000001</v>
      </c>
      <c r="CK29" s="21">
        <f>SUM(CK30:CK39)</f>
        <v>8529450.02</v>
      </c>
      <c r="CL29" s="21">
        <f>SUM(CL30:CL39)</f>
        <v>192608.95</v>
      </c>
      <c r="CM29" s="21">
        <f t="shared" si="29"/>
        <v>8722058.969999999</v>
      </c>
    </row>
    <row r="30" spans="1:91" ht="15">
      <c r="A30" s="8" t="s">
        <v>159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>
        <v>9300000</v>
      </c>
      <c r="AE30" s="3">
        <f>SUM(AC30:AD30)</f>
        <v>9300000</v>
      </c>
      <c r="AF30" s="3">
        <v>111600000</v>
      </c>
      <c r="AG30" s="3">
        <v>0</v>
      </c>
      <c r="AH30" s="3">
        <f>SUM(AF30:AG30)</f>
        <v>111600000</v>
      </c>
      <c r="AI30" s="3">
        <f>2221802.1+472974.32+3722851.69+65620206.21</f>
        <v>72037834.32</v>
      </c>
      <c r="AJ30" s="3">
        <f>3185775.94+1273420.28+719085.01+287574.8+4295943.6+1817527.28+68293010.37</f>
        <v>79872337.28</v>
      </c>
      <c r="AK30" s="3">
        <f>SUM(AI30:AJ30)</f>
        <v>151910171.6</v>
      </c>
      <c r="AL30" s="3">
        <f>+'[1]INTRA'!$O$49</f>
        <v>82976245.78</v>
      </c>
      <c r="AM30" s="3">
        <f>+'[1]INTRA'!$N$49</f>
        <v>79760777.85</v>
      </c>
      <c r="AN30" s="3">
        <f t="shared" si="7"/>
        <v>162737023.63</v>
      </c>
      <c r="AO30" s="3">
        <f>+'[2]INTRA'!$O$49</f>
        <v>92307606.89000002</v>
      </c>
      <c r="AP30" s="11">
        <f>+'[2]INTRA'!$N$49</f>
        <v>81666643.37</v>
      </c>
      <c r="AQ30" s="3">
        <f t="shared" si="8"/>
        <v>173974250.26000002</v>
      </c>
      <c r="AR30" s="11">
        <f>+'[3]ANO_08'!N87</f>
        <v>94433706</v>
      </c>
      <c r="AS30" s="11">
        <f>+'[3]ANO_08'!O87</f>
        <v>82246976.72</v>
      </c>
      <c r="AT30" s="3">
        <f t="shared" si="9"/>
        <v>176680682.72</v>
      </c>
      <c r="AU30" s="11">
        <f>+'[4]ANO_09'!N86</f>
        <v>94961290.85999998</v>
      </c>
      <c r="AV30" s="11">
        <f>+'[4]ANO_09'!O86</f>
        <v>81776434.21000001</v>
      </c>
      <c r="AW30" s="3">
        <f t="shared" si="10"/>
        <v>176737725.07</v>
      </c>
      <c r="AX30" s="11">
        <v>112812488.41999999</v>
      </c>
      <c r="AY30" s="11">
        <v>82920370.57000001</v>
      </c>
      <c r="AZ30" s="3">
        <f t="shared" si="11"/>
        <v>195732858.99</v>
      </c>
      <c r="BA30" s="11">
        <v>122209438.62</v>
      </c>
      <c r="BB30" s="11">
        <v>70001135.15</v>
      </c>
      <c r="BC30" s="3">
        <f t="shared" si="12"/>
        <v>192210573.77</v>
      </c>
      <c r="BD30" s="85">
        <v>121867221.69999999</v>
      </c>
      <c r="BE30" s="85">
        <v>58753528.660000004</v>
      </c>
      <c r="BF30" s="85">
        <v>180620750.36</v>
      </c>
      <c r="BG30" s="85">
        <v>119356613.88000001</v>
      </c>
      <c r="BH30" s="85">
        <v>43910869.879999995</v>
      </c>
      <c r="BI30" s="85">
        <v>163267483.76</v>
      </c>
      <c r="BJ30" s="85">
        <v>119356610.04</v>
      </c>
      <c r="BK30" s="85">
        <v>34610217.58</v>
      </c>
      <c r="BL30" s="85">
        <f aca="true" t="shared" si="37" ref="BL30:BL95">+BJ30+BK30</f>
        <v>153966827.62</v>
      </c>
      <c r="BM30" s="85">
        <v>114949972.47</v>
      </c>
      <c r="BN30" s="85">
        <v>28301653.880000003</v>
      </c>
      <c r="BO30" s="85">
        <v>143251626.35</v>
      </c>
      <c r="BP30" s="85">
        <v>50056426.95999999</v>
      </c>
      <c r="BQ30" s="85">
        <v>13410093.02</v>
      </c>
      <c r="BR30" s="85">
        <v>63466519.97999999</v>
      </c>
      <c r="BS30" s="85">
        <v>0</v>
      </c>
      <c r="BT30" s="85">
        <v>0</v>
      </c>
      <c r="BU30" s="85">
        <v>0</v>
      </c>
      <c r="BV30" s="85">
        <v>56815055.67</v>
      </c>
      <c r="BW30" s="85">
        <v>29024747.23</v>
      </c>
      <c r="BX30" s="85">
        <v>85839802.9</v>
      </c>
      <c r="BY30" s="85">
        <v>98648240.62000002</v>
      </c>
      <c r="BZ30" s="85">
        <v>45703539.190000005</v>
      </c>
      <c r="CA30" s="85">
        <f>+BY30+BZ30</f>
        <v>144351779.81000003</v>
      </c>
      <c r="CB30" s="85">
        <v>61097867.39000001</v>
      </c>
      <c r="CC30" s="85">
        <v>54120011.06999999</v>
      </c>
      <c r="CD30" s="85">
        <f>+CB30+CC30</f>
        <v>115217878.46000001</v>
      </c>
      <c r="CE30" s="85">
        <v>20713878.72</v>
      </c>
      <c r="CF30" s="85">
        <v>1879635.9</v>
      </c>
      <c r="CG30" s="85">
        <f>+CE30+CF30</f>
        <v>22593514.619999997</v>
      </c>
      <c r="CH30" s="85">
        <v>17293867.37</v>
      </c>
      <c r="CI30" s="85">
        <v>674569.6799999999</v>
      </c>
      <c r="CJ30" s="85">
        <f>+CH30+CI30</f>
        <v>17968437.05</v>
      </c>
      <c r="CK30" s="85">
        <v>0</v>
      </c>
      <c r="CL30" s="85">
        <v>0</v>
      </c>
      <c r="CM30" s="85">
        <f t="shared" si="29"/>
        <v>0</v>
      </c>
    </row>
    <row r="31" spans="1:91" ht="15">
      <c r="A31" s="8" t="s">
        <v>160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>
        <v>0</v>
      </c>
      <c r="AM31" s="3">
        <v>0</v>
      </c>
      <c r="AN31" s="3">
        <f t="shared" si="7"/>
        <v>0</v>
      </c>
      <c r="AO31" s="3">
        <v>0</v>
      </c>
      <c r="AP31" s="11">
        <v>0</v>
      </c>
      <c r="AQ31" s="3">
        <f t="shared" si="8"/>
        <v>0</v>
      </c>
      <c r="AR31" s="11">
        <f>+'[3]ANO_08'!N88</f>
        <v>0</v>
      </c>
      <c r="AS31" s="11">
        <f>+'[3]ANO_08'!O88</f>
        <v>110778.86</v>
      </c>
      <c r="AT31" s="3">
        <f t="shared" si="9"/>
        <v>110778.86</v>
      </c>
      <c r="AU31" s="11">
        <f>+'[4]ANO_09'!N87</f>
        <v>0</v>
      </c>
      <c r="AV31" s="11">
        <f>+'[4]ANO_09'!O87</f>
        <v>598461.44</v>
      </c>
      <c r="AW31" s="3">
        <f t="shared" si="10"/>
        <v>598461.44</v>
      </c>
      <c r="AX31" s="11">
        <v>0</v>
      </c>
      <c r="AY31" s="11">
        <v>852781.01</v>
      </c>
      <c r="AZ31" s="3">
        <f t="shared" si="11"/>
        <v>852781.01</v>
      </c>
      <c r="BA31" s="11">
        <v>1421860.3499999999</v>
      </c>
      <c r="BB31" s="11">
        <v>1285697.48</v>
      </c>
      <c r="BC31" s="3">
        <f t="shared" si="12"/>
        <v>2707557.83</v>
      </c>
      <c r="BD31" s="85">
        <v>2974570.2600000002</v>
      </c>
      <c r="BE31" s="85">
        <v>1176674.1300000001</v>
      </c>
      <c r="BF31" s="85">
        <v>4151244.3900000006</v>
      </c>
      <c r="BG31" s="85">
        <v>3651291.9</v>
      </c>
      <c r="BH31" s="85">
        <v>982823.0800000001</v>
      </c>
      <c r="BI31" s="85">
        <v>4634114.9799999995</v>
      </c>
      <c r="BJ31" s="85">
        <v>4607893.12</v>
      </c>
      <c r="BK31" s="85">
        <v>849369.6999999998</v>
      </c>
      <c r="BL31" s="85">
        <f t="shared" si="37"/>
        <v>5457262.82</v>
      </c>
      <c r="BM31" s="85">
        <v>4822425.7</v>
      </c>
      <c r="BN31" s="85">
        <v>650391.33</v>
      </c>
      <c r="BO31" s="85">
        <v>5472817.03</v>
      </c>
      <c r="BP31" s="85">
        <v>2427882.3200000003</v>
      </c>
      <c r="BQ31" s="85">
        <v>297605.05</v>
      </c>
      <c r="BR31" s="85">
        <v>2725487.37</v>
      </c>
      <c r="BS31" s="85">
        <v>89803.62</v>
      </c>
      <c r="BT31" s="85">
        <v>28196.21</v>
      </c>
      <c r="BU31" s="85">
        <v>117999.82999999999</v>
      </c>
      <c r="BV31" s="85">
        <v>3572511.57</v>
      </c>
      <c r="BW31" s="85">
        <v>1081452</v>
      </c>
      <c r="BX31" s="85">
        <v>4653963.57</v>
      </c>
      <c r="BY31" s="85">
        <v>0</v>
      </c>
      <c r="BZ31" s="85">
        <v>0</v>
      </c>
      <c r="CA31" s="85">
        <f aca="true" t="shared" si="38" ref="CA31:CA39">+BY31+BZ31</f>
        <v>0</v>
      </c>
      <c r="CB31" s="85">
        <v>0</v>
      </c>
      <c r="CC31" s="85">
        <v>0</v>
      </c>
      <c r="CD31" s="85">
        <f aca="true" t="shared" si="39" ref="CD31:CD73">+CB31+CC31</f>
        <v>0</v>
      </c>
      <c r="CE31" s="85">
        <v>0</v>
      </c>
      <c r="CF31" s="85">
        <v>0</v>
      </c>
      <c r="CG31" s="85">
        <f aca="true" t="shared" si="40" ref="CG31:CG73">+CE31+CF31</f>
        <v>0</v>
      </c>
      <c r="CH31" s="85">
        <v>0</v>
      </c>
      <c r="CI31" s="85">
        <v>0</v>
      </c>
      <c r="CJ31" s="85">
        <f aca="true" t="shared" si="41" ref="CJ31:CJ39">+CH31+CI31</f>
        <v>0</v>
      </c>
      <c r="CK31" s="85">
        <v>0</v>
      </c>
      <c r="CL31" s="85">
        <v>0</v>
      </c>
      <c r="CM31" s="85">
        <f t="shared" si="29"/>
        <v>0</v>
      </c>
    </row>
    <row r="32" spans="1:91" ht="15">
      <c r="A32" s="8" t="s">
        <v>161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>
        <v>0</v>
      </c>
      <c r="AM32" s="3">
        <v>0</v>
      </c>
      <c r="AN32" s="3">
        <f t="shared" si="7"/>
        <v>0</v>
      </c>
      <c r="AO32" s="3">
        <v>0</v>
      </c>
      <c r="AP32" s="11">
        <v>0</v>
      </c>
      <c r="AQ32" s="3">
        <f t="shared" si="8"/>
        <v>0</v>
      </c>
      <c r="AR32" s="11">
        <v>0</v>
      </c>
      <c r="AS32" s="11">
        <v>0</v>
      </c>
      <c r="AT32" s="3">
        <f t="shared" si="9"/>
        <v>0</v>
      </c>
      <c r="AU32" s="11">
        <f>+'[4]ANO_09'!N88</f>
        <v>0</v>
      </c>
      <c r="AV32" s="11">
        <f>+'[4]ANO_09'!O88</f>
        <v>0</v>
      </c>
      <c r="AW32" s="3">
        <f t="shared" si="10"/>
        <v>0</v>
      </c>
      <c r="AX32" s="11">
        <v>0</v>
      </c>
      <c r="AY32" s="11">
        <v>859318.6599999999</v>
      </c>
      <c r="AZ32" s="3">
        <f t="shared" si="11"/>
        <v>859318.6599999999</v>
      </c>
      <c r="BA32" s="11">
        <v>2232442.41</v>
      </c>
      <c r="BB32" s="11">
        <v>3120453.82</v>
      </c>
      <c r="BC32" s="3">
        <f t="shared" si="12"/>
        <v>5352896.23</v>
      </c>
      <c r="BD32" s="85">
        <v>12694539.170000002</v>
      </c>
      <c r="BE32" s="85">
        <v>6750862.66</v>
      </c>
      <c r="BF32" s="85">
        <v>19445401.830000002</v>
      </c>
      <c r="BG32" s="85">
        <v>17757068.5</v>
      </c>
      <c r="BH32" s="85">
        <v>7449494.3100000005</v>
      </c>
      <c r="BI32" s="85">
        <v>25206562.81</v>
      </c>
      <c r="BJ32" s="85">
        <v>19983569.16</v>
      </c>
      <c r="BK32" s="85">
        <v>7029852.119999999</v>
      </c>
      <c r="BL32" s="85">
        <f t="shared" si="37"/>
        <v>27013421.28</v>
      </c>
      <c r="BM32" s="85">
        <v>20082925.74</v>
      </c>
      <c r="BN32" s="85">
        <v>6382152.1899999995</v>
      </c>
      <c r="BO32" s="85">
        <v>26465077.93</v>
      </c>
      <c r="BP32" s="85">
        <v>10322758.96</v>
      </c>
      <c r="BQ32" s="85">
        <v>3284941.75</v>
      </c>
      <c r="BR32" s="85">
        <v>13607700.71</v>
      </c>
      <c r="BS32" s="85">
        <v>32299544.599999998</v>
      </c>
      <c r="BT32" s="85">
        <v>14694815.170000002</v>
      </c>
      <c r="BU32" s="85">
        <v>46994359.769999996</v>
      </c>
      <c r="BV32" s="85">
        <v>34455241.51</v>
      </c>
      <c r="BW32" s="85">
        <v>226336.46</v>
      </c>
      <c r="BX32" s="85">
        <v>34681577.97</v>
      </c>
      <c r="BY32" s="85">
        <v>0</v>
      </c>
      <c r="BZ32" s="85">
        <v>0</v>
      </c>
      <c r="CA32" s="85">
        <f t="shared" si="38"/>
        <v>0</v>
      </c>
      <c r="CB32" s="85">
        <v>0</v>
      </c>
      <c r="CC32" s="85">
        <v>0</v>
      </c>
      <c r="CD32" s="85">
        <f t="shared" si="39"/>
        <v>0</v>
      </c>
      <c r="CE32" s="85">
        <v>0</v>
      </c>
      <c r="CF32" s="85">
        <v>0</v>
      </c>
      <c r="CG32" s="85">
        <f t="shared" si="40"/>
        <v>0</v>
      </c>
      <c r="CH32" s="85"/>
      <c r="CI32" s="85"/>
      <c r="CJ32" s="85">
        <f t="shared" si="41"/>
        <v>0</v>
      </c>
      <c r="CK32" s="85">
        <v>0</v>
      </c>
      <c r="CL32" s="85">
        <v>0</v>
      </c>
      <c r="CM32" s="85">
        <f t="shared" si="29"/>
        <v>0</v>
      </c>
    </row>
    <row r="33" spans="1:91" ht="15">
      <c r="A33" s="8" t="s">
        <v>162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11"/>
      <c r="AQ33" s="3"/>
      <c r="AR33" s="11"/>
      <c r="AS33" s="11"/>
      <c r="AT33" s="3"/>
      <c r="AU33" s="11"/>
      <c r="AV33" s="11"/>
      <c r="AW33" s="3"/>
      <c r="AX33" s="11"/>
      <c r="AY33" s="11"/>
      <c r="AZ33" s="3"/>
      <c r="BA33" s="11">
        <v>0</v>
      </c>
      <c r="BB33" s="11">
        <v>389600</v>
      </c>
      <c r="BC33" s="3">
        <f t="shared" si="12"/>
        <v>389600</v>
      </c>
      <c r="BD33" s="85"/>
      <c r="BE33" s="85">
        <v>9056583.04</v>
      </c>
      <c r="BF33" s="85">
        <f>+BD33+BE33</f>
        <v>9056583.04</v>
      </c>
      <c r="BG33" s="85">
        <v>0</v>
      </c>
      <c r="BH33" s="85">
        <v>24822309.919999998</v>
      </c>
      <c r="BI33" s="85">
        <v>24822309.919999998</v>
      </c>
      <c r="BJ33" s="85">
        <v>11111111.12</v>
      </c>
      <c r="BK33" s="85">
        <v>29162669.450000003</v>
      </c>
      <c r="BL33" s="85">
        <f t="shared" si="37"/>
        <v>40273780.57</v>
      </c>
      <c r="BM33" s="85">
        <v>33358321.069999997</v>
      </c>
      <c r="BN33" s="85">
        <v>28296660.9</v>
      </c>
      <c r="BO33" s="85">
        <v>61654981.97</v>
      </c>
      <c r="BP33" s="85">
        <v>30883823.789999995</v>
      </c>
      <c r="BQ33" s="85">
        <v>28984352.509999998</v>
      </c>
      <c r="BR33" s="85">
        <v>59868176.3</v>
      </c>
      <c r="BS33" s="85">
        <v>14176914.75</v>
      </c>
      <c r="BT33" s="85">
        <v>13604736.34</v>
      </c>
      <c r="BU33" s="85">
        <v>27781651.09</v>
      </c>
      <c r="BV33" s="85">
        <v>0</v>
      </c>
      <c r="BW33" s="85">
        <v>0</v>
      </c>
      <c r="BX33" s="85">
        <v>0</v>
      </c>
      <c r="BY33" s="85">
        <v>0</v>
      </c>
      <c r="BZ33" s="85">
        <v>0</v>
      </c>
      <c r="CA33" s="85">
        <f t="shared" si="38"/>
        <v>0</v>
      </c>
      <c r="CB33" s="85">
        <v>0</v>
      </c>
      <c r="CC33" s="85">
        <v>0</v>
      </c>
      <c r="CD33" s="85">
        <f t="shared" si="39"/>
        <v>0</v>
      </c>
      <c r="CE33" s="85">
        <v>0</v>
      </c>
      <c r="CF33" s="85">
        <v>0</v>
      </c>
      <c r="CG33" s="85">
        <f t="shared" si="40"/>
        <v>0</v>
      </c>
      <c r="CH33" s="85"/>
      <c r="CI33" s="85"/>
      <c r="CJ33" s="85">
        <f t="shared" si="41"/>
        <v>0</v>
      </c>
      <c r="CK33" s="85">
        <v>0</v>
      </c>
      <c r="CL33" s="85">
        <v>0</v>
      </c>
      <c r="CM33" s="85">
        <f t="shared" si="29"/>
        <v>0</v>
      </c>
    </row>
    <row r="34" spans="1:91" ht="15">
      <c r="A34" s="8" t="s">
        <v>163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11"/>
      <c r="AQ34" s="3"/>
      <c r="AR34" s="11"/>
      <c r="AS34" s="11"/>
      <c r="AT34" s="3"/>
      <c r="AU34" s="11"/>
      <c r="AV34" s="11"/>
      <c r="AW34" s="3"/>
      <c r="AX34" s="11"/>
      <c r="AY34" s="11"/>
      <c r="AZ34" s="3"/>
      <c r="BA34" s="11"/>
      <c r="BB34" s="11"/>
      <c r="BC34" s="3"/>
      <c r="BD34" s="85"/>
      <c r="BE34" s="85">
        <v>703925.82</v>
      </c>
      <c r="BF34" s="85">
        <v>703925.82</v>
      </c>
      <c r="BG34" s="85">
        <v>0</v>
      </c>
      <c r="BH34" s="85">
        <v>9267624.07</v>
      </c>
      <c r="BI34" s="85">
        <v>9267624.07</v>
      </c>
      <c r="BJ34" s="85">
        <v>9590907.06</v>
      </c>
      <c r="BK34" s="85">
        <v>10251810.4</v>
      </c>
      <c r="BL34" s="85">
        <f t="shared" si="37"/>
        <v>19842717.46</v>
      </c>
      <c r="BM34" s="85">
        <v>19406582.57</v>
      </c>
      <c r="BN34" s="85">
        <v>10330420.760000002</v>
      </c>
      <c r="BO34" s="85">
        <v>29737003.330000002</v>
      </c>
      <c r="BP34" s="85">
        <v>9889312.61</v>
      </c>
      <c r="BQ34" s="85">
        <v>5406110.9399999995</v>
      </c>
      <c r="BR34" s="85">
        <v>15295423.549999999</v>
      </c>
      <c r="BS34" s="85">
        <v>0</v>
      </c>
      <c r="BT34" s="85">
        <v>0</v>
      </c>
      <c r="BU34" s="85">
        <v>0</v>
      </c>
      <c r="BV34" s="85">
        <v>16911638.35</v>
      </c>
      <c r="BW34" s="85">
        <v>5186300.17</v>
      </c>
      <c r="BX34" s="85">
        <v>22097938.520000003</v>
      </c>
      <c r="BY34" s="85">
        <v>20408475.66</v>
      </c>
      <c r="BZ34" s="85">
        <v>4729849.24</v>
      </c>
      <c r="CA34" s="85">
        <f t="shared" si="38"/>
        <v>25138324.9</v>
      </c>
      <c r="CB34" s="85">
        <v>44242342.84</v>
      </c>
      <c r="CC34" s="85">
        <v>45969778.019999996</v>
      </c>
      <c r="CD34" s="85">
        <f t="shared" si="39"/>
        <v>90212120.86</v>
      </c>
      <c r="CE34" s="85">
        <v>16879843.080000002</v>
      </c>
      <c r="CF34" s="85">
        <v>2247878.4</v>
      </c>
      <c r="CG34" s="85">
        <f t="shared" si="40"/>
        <v>19127721.48</v>
      </c>
      <c r="CH34" s="85">
        <v>16924360.36</v>
      </c>
      <c r="CI34" s="85">
        <v>1406258.02</v>
      </c>
      <c r="CJ34" s="85">
        <f t="shared" si="41"/>
        <v>18330618.38</v>
      </c>
      <c r="CK34" s="85">
        <v>8529450.02</v>
      </c>
      <c r="CL34" s="85">
        <v>192608.95</v>
      </c>
      <c r="CM34" s="85">
        <f aca="true" t="shared" si="42" ref="CM34:CM62">+CK34+CL34</f>
        <v>8722058.969999999</v>
      </c>
    </row>
    <row r="35" spans="1:91" ht="15">
      <c r="A35" s="8" t="s">
        <v>164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11"/>
      <c r="AQ35" s="3"/>
      <c r="AR35" s="11"/>
      <c r="AS35" s="11"/>
      <c r="AT35" s="3"/>
      <c r="AU35" s="11"/>
      <c r="AV35" s="11"/>
      <c r="AW35" s="3"/>
      <c r="AX35" s="11"/>
      <c r="AY35" s="11"/>
      <c r="AZ35" s="3"/>
      <c r="BA35" s="11"/>
      <c r="BB35" s="11"/>
      <c r="BC35" s="3"/>
      <c r="BD35" s="85"/>
      <c r="BE35" s="85"/>
      <c r="BF35" s="85"/>
      <c r="BG35" s="85">
        <v>0</v>
      </c>
      <c r="BH35" s="85">
        <v>23504451.759999998</v>
      </c>
      <c r="BI35" s="85">
        <f>+BG35+BH35</f>
        <v>23504451.759999998</v>
      </c>
      <c r="BJ35" s="85">
        <v>0</v>
      </c>
      <c r="BK35" s="85">
        <v>136493984.9</v>
      </c>
      <c r="BL35" s="85">
        <f t="shared" si="37"/>
        <v>136493984.9</v>
      </c>
      <c r="BM35" s="85">
        <v>0</v>
      </c>
      <c r="BN35" s="85">
        <v>205020460.55</v>
      </c>
      <c r="BO35" s="85">
        <f>+BM35+BN35</f>
        <v>205020460.55</v>
      </c>
      <c r="BP35" s="85">
        <v>0</v>
      </c>
      <c r="BQ35" s="85">
        <v>235835025.18</v>
      </c>
      <c r="BR35" s="85">
        <v>235835025.18</v>
      </c>
      <c r="BS35" s="85">
        <v>48652041.839999996</v>
      </c>
      <c r="BT35" s="85">
        <v>106692348.48169999</v>
      </c>
      <c r="BU35" s="85">
        <v>155344390.32169998</v>
      </c>
      <c r="BV35" s="85">
        <v>0</v>
      </c>
      <c r="BW35" s="85">
        <v>0</v>
      </c>
      <c r="BX35" s="85">
        <v>0</v>
      </c>
      <c r="BY35" s="85">
        <v>0</v>
      </c>
      <c r="BZ35" s="85">
        <v>0</v>
      </c>
      <c r="CA35" s="85">
        <f t="shared" si="38"/>
        <v>0</v>
      </c>
      <c r="CB35" s="85">
        <v>0</v>
      </c>
      <c r="CC35" s="85">
        <v>0</v>
      </c>
      <c r="CD35" s="85">
        <f t="shared" si="39"/>
        <v>0</v>
      </c>
      <c r="CE35" s="85">
        <v>0</v>
      </c>
      <c r="CF35" s="85">
        <v>0</v>
      </c>
      <c r="CG35" s="85">
        <f t="shared" si="40"/>
        <v>0</v>
      </c>
      <c r="CH35" s="85"/>
      <c r="CI35" s="85"/>
      <c r="CJ35" s="85">
        <f t="shared" si="41"/>
        <v>0</v>
      </c>
      <c r="CK35" s="85">
        <v>0</v>
      </c>
      <c r="CL35" s="85">
        <v>0</v>
      </c>
      <c r="CM35" s="85">
        <f t="shared" si="42"/>
        <v>0</v>
      </c>
    </row>
    <row r="36" spans="1:91" ht="15">
      <c r="A36" s="8" t="s">
        <v>165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11"/>
      <c r="AQ36" s="3"/>
      <c r="AR36" s="11"/>
      <c r="AS36" s="11"/>
      <c r="AT36" s="3"/>
      <c r="AU36" s="11"/>
      <c r="AV36" s="11"/>
      <c r="AW36" s="3"/>
      <c r="AX36" s="11"/>
      <c r="AY36" s="11"/>
      <c r="AZ36" s="3"/>
      <c r="BA36" s="11"/>
      <c r="BB36" s="11"/>
      <c r="BC36" s="3"/>
      <c r="BD36" s="85"/>
      <c r="BE36" s="85"/>
      <c r="BF36" s="85"/>
      <c r="BG36" s="85"/>
      <c r="BH36" s="85"/>
      <c r="BI36" s="85"/>
      <c r="BJ36" s="85">
        <v>0</v>
      </c>
      <c r="BK36" s="85">
        <v>277089.9</v>
      </c>
      <c r="BL36" s="85">
        <f t="shared" si="37"/>
        <v>277089.9</v>
      </c>
      <c r="BM36" s="85">
        <v>0</v>
      </c>
      <c r="BN36" s="85">
        <v>51875750.85</v>
      </c>
      <c r="BO36" s="85">
        <f>+BM36+BN36</f>
        <v>51875750.85</v>
      </c>
      <c r="BP36" s="85">
        <v>0</v>
      </c>
      <c r="BQ36" s="85">
        <v>161494596.92000002</v>
      </c>
      <c r="BR36" s="85">
        <v>161494596.92000002</v>
      </c>
      <c r="BS36" s="85">
        <v>20780137.8</v>
      </c>
      <c r="BT36" s="85">
        <v>89332970.21000001</v>
      </c>
      <c r="BU36" s="85">
        <v>110113108.01</v>
      </c>
      <c r="BV36" s="85">
        <v>0</v>
      </c>
      <c r="BW36" s="85">
        <v>0</v>
      </c>
      <c r="BX36" s="85">
        <v>0</v>
      </c>
      <c r="BY36" s="85">
        <v>0</v>
      </c>
      <c r="BZ36" s="85">
        <v>0</v>
      </c>
      <c r="CA36" s="85">
        <f t="shared" si="38"/>
        <v>0</v>
      </c>
      <c r="CB36" s="85">
        <v>0</v>
      </c>
      <c r="CC36" s="85">
        <v>0</v>
      </c>
      <c r="CD36" s="85">
        <f t="shared" si="39"/>
        <v>0</v>
      </c>
      <c r="CE36" s="85">
        <v>0</v>
      </c>
      <c r="CF36" s="85">
        <v>0</v>
      </c>
      <c r="CG36" s="85">
        <f t="shared" si="40"/>
        <v>0</v>
      </c>
      <c r="CH36" s="85"/>
      <c r="CI36" s="85"/>
      <c r="CJ36" s="85">
        <f t="shared" si="41"/>
        <v>0</v>
      </c>
      <c r="CK36" s="85">
        <v>0</v>
      </c>
      <c r="CL36" s="85">
        <v>0</v>
      </c>
      <c r="CM36" s="85">
        <f t="shared" si="42"/>
        <v>0</v>
      </c>
    </row>
    <row r="37" spans="1:91" ht="15">
      <c r="A37" s="8" t="s">
        <v>166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11"/>
      <c r="AQ37" s="3"/>
      <c r="AR37" s="11"/>
      <c r="AS37" s="11"/>
      <c r="AT37" s="3"/>
      <c r="AU37" s="11"/>
      <c r="AV37" s="11"/>
      <c r="AW37" s="3"/>
      <c r="AX37" s="11"/>
      <c r="AY37" s="11"/>
      <c r="AZ37" s="3"/>
      <c r="BA37" s="11"/>
      <c r="BB37" s="11"/>
      <c r="BC37" s="3"/>
      <c r="BD37" s="85"/>
      <c r="BE37" s="85"/>
      <c r="BF37" s="85"/>
      <c r="BG37" s="85"/>
      <c r="BH37" s="85"/>
      <c r="BI37" s="85"/>
      <c r="BJ37" s="85">
        <v>0</v>
      </c>
      <c r="BK37" s="85">
        <v>19970.72</v>
      </c>
      <c r="BL37" s="85">
        <f t="shared" si="37"/>
        <v>19970.72</v>
      </c>
      <c r="BM37" s="85">
        <v>0</v>
      </c>
      <c r="BN37" s="85">
        <v>4044186.25</v>
      </c>
      <c r="BO37" s="85">
        <f>+BM37+BN37</f>
        <v>4044186.25</v>
      </c>
      <c r="BP37" s="85">
        <v>0</v>
      </c>
      <c r="BQ37" s="85">
        <v>11132335.149999999</v>
      </c>
      <c r="BR37" s="85">
        <v>11132335.149999999</v>
      </c>
      <c r="BS37" s="85">
        <v>10172075.82</v>
      </c>
      <c r="BT37" s="85">
        <v>7532254.1</v>
      </c>
      <c r="BU37" s="85">
        <v>17704329.92</v>
      </c>
      <c r="BV37" s="85">
        <v>0</v>
      </c>
      <c r="BW37" s="85">
        <v>0</v>
      </c>
      <c r="BX37" s="85">
        <v>0</v>
      </c>
      <c r="BY37" s="85">
        <v>0</v>
      </c>
      <c r="BZ37" s="85">
        <v>0</v>
      </c>
      <c r="CA37" s="85">
        <f t="shared" si="38"/>
        <v>0</v>
      </c>
      <c r="CB37" s="85">
        <v>0</v>
      </c>
      <c r="CC37" s="85">
        <v>0</v>
      </c>
      <c r="CD37" s="85">
        <f t="shared" si="39"/>
        <v>0</v>
      </c>
      <c r="CE37" s="85">
        <v>0</v>
      </c>
      <c r="CF37" s="85">
        <v>0</v>
      </c>
      <c r="CG37" s="85">
        <f t="shared" si="40"/>
        <v>0</v>
      </c>
      <c r="CH37" s="85"/>
      <c r="CI37" s="85"/>
      <c r="CJ37" s="85">
        <f t="shared" si="41"/>
        <v>0</v>
      </c>
      <c r="CK37" s="85">
        <v>0</v>
      </c>
      <c r="CL37" s="85">
        <v>0</v>
      </c>
      <c r="CM37" s="85">
        <f t="shared" si="42"/>
        <v>0</v>
      </c>
    </row>
    <row r="38" spans="1:91" ht="15">
      <c r="A38" s="8" t="s">
        <v>210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11"/>
      <c r="AQ38" s="3"/>
      <c r="AR38" s="11"/>
      <c r="AS38" s="11"/>
      <c r="AT38" s="3"/>
      <c r="AU38" s="11"/>
      <c r="AV38" s="11"/>
      <c r="AW38" s="3"/>
      <c r="AX38" s="11"/>
      <c r="AY38" s="11"/>
      <c r="AZ38" s="3"/>
      <c r="BA38" s="11"/>
      <c r="BB38" s="11"/>
      <c r="BC38" s="3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>
        <v>0</v>
      </c>
      <c r="BQ38" s="85">
        <v>9269589.52</v>
      </c>
      <c r="BR38" s="85">
        <v>9269589.52</v>
      </c>
      <c r="BS38" s="85">
        <v>2132276.55</v>
      </c>
      <c r="BT38" s="85">
        <v>8531498.15</v>
      </c>
      <c r="BU38" s="85">
        <v>10663774.7</v>
      </c>
      <c r="BV38" s="85">
        <v>0</v>
      </c>
      <c r="BW38" s="85">
        <v>0</v>
      </c>
      <c r="BX38" s="85">
        <v>0</v>
      </c>
      <c r="BY38" s="85">
        <v>0</v>
      </c>
      <c r="BZ38" s="85">
        <v>0</v>
      </c>
      <c r="CA38" s="85">
        <f t="shared" si="38"/>
        <v>0</v>
      </c>
      <c r="CB38" s="85">
        <v>0</v>
      </c>
      <c r="CC38" s="85">
        <v>0</v>
      </c>
      <c r="CD38" s="85">
        <f t="shared" si="39"/>
        <v>0</v>
      </c>
      <c r="CE38" s="85">
        <v>0</v>
      </c>
      <c r="CF38" s="85">
        <v>0</v>
      </c>
      <c r="CG38" s="85">
        <f t="shared" si="40"/>
        <v>0</v>
      </c>
      <c r="CH38" s="85"/>
      <c r="CI38" s="85"/>
      <c r="CJ38" s="85">
        <f t="shared" si="41"/>
        <v>0</v>
      </c>
      <c r="CK38" s="85">
        <v>0</v>
      </c>
      <c r="CL38" s="85">
        <v>0</v>
      </c>
      <c r="CM38" s="85">
        <f t="shared" si="42"/>
        <v>0</v>
      </c>
    </row>
    <row r="39" spans="1:91" ht="15">
      <c r="A39" s="8" t="s">
        <v>211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11"/>
      <c r="AQ39" s="3"/>
      <c r="AR39" s="11"/>
      <c r="AS39" s="11"/>
      <c r="AT39" s="3"/>
      <c r="AU39" s="11"/>
      <c r="AV39" s="11"/>
      <c r="AW39" s="3"/>
      <c r="AX39" s="11"/>
      <c r="AY39" s="11"/>
      <c r="AZ39" s="3"/>
      <c r="BA39" s="11"/>
      <c r="BB39" s="11"/>
      <c r="BC39" s="3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>
        <v>0</v>
      </c>
      <c r="BQ39" s="85">
        <v>1518602.7800000003</v>
      </c>
      <c r="BR39" s="85">
        <v>1518602.7800000003</v>
      </c>
      <c r="BS39" s="85">
        <v>2405266.6399999997</v>
      </c>
      <c r="BT39" s="85">
        <v>1533960.88</v>
      </c>
      <c r="BU39" s="85">
        <v>3939227.5199999996</v>
      </c>
      <c r="BV39" s="85">
        <v>0</v>
      </c>
      <c r="BW39" s="85">
        <v>0</v>
      </c>
      <c r="BX39" s="85">
        <v>0</v>
      </c>
      <c r="BY39" s="85">
        <v>0</v>
      </c>
      <c r="BZ39" s="85">
        <v>0</v>
      </c>
      <c r="CA39" s="85">
        <f t="shared" si="38"/>
        <v>0</v>
      </c>
      <c r="CB39" s="85">
        <v>0</v>
      </c>
      <c r="CC39" s="85">
        <v>0</v>
      </c>
      <c r="CD39" s="85">
        <f t="shared" si="39"/>
        <v>0</v>
      </c>
      <c r="CE39" s="85">
        <v>0</v>
      </c>
      <c r="CF39" s="85">
        <v>0</v>
      </c>
      <c r="CG39" s="85">
        <f t="shared" si="40"/>
        <v>0</v>
      </c>
      <c r="CH39" s="85"/>
      <c r="CI39" s="85"/>
      <c r="CJ39" s="85">
        <f t="shared" si="41"/>
        <v>0</v>
      </c>
      <c r="CK39" s="85">
        <v>0</v>
      </c>
      <c r="CL39" s="85">
        <v>0</v>
      </c>
      <c r="CM39" s="85">
        <f t="shared" si="42"/>
        <v>0</v>
      </c>
    </row>
    <row r="40" spans="1:91" ht="15">
      <c r="A40" s="20" t="s">
        <v>137</v>
      </c>
      <c r="B40" s="21">
        <f aca="true" t="shared" si="43" ref="B40:AK40">SUM(B41:B46)</f>
        <v>0</v>
      </c>
      <c r="C40" s="21">
        <f t="shared" si="43"/>
        <v>0</v>
      </c>
      <c r="D40" s="21">
        <f t="shared" si="43"/>
        <v>0</v>
      </c>
      <c r="E40" s="21">
        <f t="shared" si="43"/>
        <v>0</v>
      </c>
      <c r="F40" s="21">
        <f t="shared" si="43"/>
        <v>0</v>
      </c>
      <c r="G40" s="21">
        <f t="shared" si="43"/>
        <v>0</v>
      </c>
      <c r="H40" s="21">
        <f t="shared" si="43"/>
        <v>0</v>
      </c>
      <c r="I40" s="21">
        <f t="shared" si="43"/>
        <v>0</v>
      </c>
      <c r="J40" s="21">
        <f t="shared" si="43"/>
        <v>0</v>
      </c>
      <c r="K40" s="21">
        <f t="shared" si="43"/>
        <v>0</v>
      </c>
      <c r="L40" s="21">
        <f t="shared" si="43"/>
        <v>0</v>
      </c>
      <c r="M40" s="21">
        <f t="shared" si="43"/>
        <v>0</v>
      </c>
      <c r="N40" s="21">
        <f t="shared" si="43"/>
        <v>0</v>
      </c>
      <c r="O40" s="21">
        <f t="shared" si="43"/>
        <v>144317</v>
      </c>
      <c r="P40" s="21">
        <f t="shared" si="43"/>
        <v>144317</v>
      </c>
      <c r="Q40" s="21">
        <f t="shared" si="43"/>
        <v>0</v>
      </c>
      <c r="R40" s="21">
        <f t="shared" si="43"/>
        <v>558859.92</v>
      </c>
      <c r="S40" s="21">
        <f t="shared" si="43"/>
        <v>558859.92</v>
      </c>
      <c r="T40" s="21">
        <f t="shared" si="43"/>
        <v>0</v>
      </c>
      <c r="U40" s="21">
        <f t="shared" si="43"/>
        <v>1056016.72</v>
      </c>
      <c r="V40" s="21">
        <f t="shared" si="43"/>
        <v>1056016.72</v>
      </c>
      <c r="W40" s="21">
        <f t="shared" si="43"/>
        <v>0</v>
      </c>
      <c r="X40" s="21">
        <f t="shared" si="43"/>
        <v>2085173.76</v>
      </c>
      <c r="Y40" s="21">
        <f t="shared" si="43"/>
        <v>2085173.76</v>
      </c>
      <c r="Z40" s="21">
        <f t="shared" si="43"/>
        <v>0</v>
      </c>
      <c r="AA40" s="21">
        <f t="shared" si="43"/>
        <v>2880413.99</v>
      </c>
      <c r="AB40" s="21">
        <f t="shared" si="43"/>
        <v>2880413.99</v>
      </c>
      <c r="AC40" s="21">
        <f t="shared" si="43"/>
        <v>0</v>
      </c>
      <c r="AD40" s="21">
        <f t="shared" si="43"/>
        <v>3574738.03</v>
      </c>
      <c r="AE40" s="21">
        <f t="shared" si="43"/>
        <v>3574738.03</v>
      </c>
      <c r="AF40" s="21">
        <f t="shared" si="43"/>
        <v>2356321.48</v>
      </c>
      <c r="AG40" s="21">
        <f t="shared" si="43"/>
        <v>3047019.96</v>
      </c>
      <c r="AH40" s="21">
        <f t="shared" si="43"/>
        <v>5403341.4399999995</v>
      </c>
      <c r="AI40" s="21">
        <f t="shared" si="43"/>
        <v>4537944</v>
      </c>
      <c r="AJ40" s="21">
        <f t="shared" si="43"/>
        <v>2103542.83</v>
      </c>
      <c r="AK40" s="21">
        <f t="shared" si="43"/>
        <v>6641486.83</v>
      </c>
      <c r="AL40" s="21">
        <f>SUM(AL41:AL46)</f>
        <v>4044126.8</v>
      </c>
      <c r="AM40" s="21">
        <f aca="true" t="shared" si="44" ref="AM40:BR40">SUM(AM41:AM46)</f>
        <v>2313913.71</v>
      </c>
      <c r="AN40" s="21">
        <f t="shared" si="44"/>
        <v>6358040.51</v>
      </c>
      <c r="AO40" s="21">
        <f t="shared" si="44"/>
        <v>3861056.2199999997</v>
      </c>
      <c r="AP40" s="21">
        <f t="shared" si="44"/>
        <v>2213968.29</v>
      </c>
      <c r="AQ40" s="21">
        <f t="shared" si="44"/>
        <v>6075024.51</v>
      </c>
      <c r="AR40" s="21">
        <f t="shared" si="44"/>
        <v>3139509.3899999997</v>
      </c>
      <c r="AS40" s="21">
        <f t="shared" si="44"/>
        <v>1636100.35</v>
      </c>
      <c r="AT40" s="21">
        <f t="shared" si="44"/>
        <v>4775609.74</v>
      </c>
      <c r="AU40" s="21">
        <f t="shared" si="44"/>
        <v>4035741.51</v>
      </c>
      <c r="AV40" s="21">
        <f t="shared" si="44"/>
        <v>1624819.39</v>
      </c>
      <c r="AW40" s="21">
        <f t="shared" si="44"/>
        <v>5660560.899999999</v>
      </c>
      <c r="AX40" s="21">
        <f t="shared" si="44"/>
        <v>3375419.72</v>
      </c>
      <c r="AY40" s="21">
        <f t="shared" si="44"/>
        <v>2209872.2800000003</v>
      </c>
      <c r="AZ40" s="21">
        <f t="shared" si="44"/>
        <v>5585292.000000001</v>
      </c>
      <c r="BA40" s="21">
        <f t="shared" si="44"/>
        <v>3093517.3699999996</v>
      </c>
      <c r="BB40" s="21">
        <f t="shared" si="44"/>
        <v>26908552.96</v>
      </c>
      <c r="BC40" s="21">
        <f t="shared" si="44"/>
        <v>30002070.33</v>
      </c>
      <c r="BD40" s="21">
        <f t="shared" si="44"/>
        <v>53566972.25</v>
      </c>
      <c r="BE40" s="21">
        <f t="shared" si="44"/>
        <v>48303899.26</v>
      </c>
      <c r="BF40" s="21">
        <f t="shared" si="44"/>
        <v>101870871.50999998</v>
      </c>
      <c r="BG40" s="21">
        <f t="shared" si="44"/>
        <v>76791850.72999999</v>
      </c>
      <c r="BH40" s="21">
        <f t="shared" si="44"/>
        <v>58076759.53</v>
      </c>
      <c r="BI40" s="21">
        <f t="shared" si="44"/>
        <v>134868610.26</v>
      </c>
      <c r="BJ40" s="21">
        <f t="shared" si="44"/>
        <v>84482461.38</v>
      </c>
      <c r="BK40" s="21">
        <f t="shared" si="44"/>
        <v>81463178.21</v>
      </c>
      <c r="BL40" s="21">
        <f t="shared" si="44"/>
        <v>165945639.58999997</v>
      </c>
      <c r="BM40" s="21">
        <f t="shared" si="44"/>
        <v>92271945.83</v>
      </c>
      <c r="BN40" s="21">
        <f t="shared" si="44"/>
        <v>105126131.68</v>
      </c>
      <c r="BO40" s="21">
        <f t="shared" si="44"/>
        <v>197398077.51000002</v>
      </c>
      <c r="BP40" s="21">
        <f t="shared" si="44"/>
        <v>89008103.66</v>
      </c>
      <c r="BQ40" s="21">
        <f t="shared" si="44"/>
        <v>139462371.41</v>
      </c>
      <c r="BR40" s="21">
        <f t="shared" si="44"/>
        <v>228470475.07</v>
      </c>
      <c r="BS40" s="21">
        <v>8882992.51</v>
      </c>
      <c r="BT40" s="21">
        <v>53203024.34</v>
      </c>
      <c r="BU40" s="21">
        <v>62086016.85</v>
      </c>
      <c r="BV40" s="21">
        <v>876823.93</v>
      </c>
      <c r="BW40" s="21">
        <v>5114.8099999999995</v>
      </c>
      <c r="BX40" s="21">
        <v>881938.7400000001</v>
      </c>
      <c r="BY40" s="21">
        <f>SUM(BY41:BY46)</f>
        <v>0</v>
      </c>
      <c r="BZ40" s="21">
        <f>SUM(BZ41:BZ46)</f>
        <v>0</v>
      </c>
      <c r="CA40" s="21">
        <f aca="true" t="shared" si="45" ref="CA40:CA67">+BY40+BZ40</f>
        <v>0</v>
      </c>
      <c r="CB40" s="21">
        <f>SUM(CB41:CB46)</f>
        <v>0</v>
      </c>
      <c r="CC40" s="21">
        <f>SUM(CC41:CC46)</f>
        <v>0</v>
      </c>
      <c r="CD40" s="21">
        <f t="shared" si="39"/>
        <v>0</v>
      </c>
      <c r="CE40" s="21">
        <f>SUM(CE41:CE46)</f>
        <v>0</v>
      </c>
      <c r="CF40" s="21">
        <f>SUM(CF41:CF46)</f>
        <v>0</v>
      </c>
      <c r="CG40" s="21">
        <f t="shared" si="40"/>
        <v>0</v>
      </c>
      <c r="CH40" s="21">
        <f>SUM(CH41:CH46)</f>
        <v>0</v>
      </c>
      <c r="CI40" s="21">
        <f>SUM(CI41:CI46)</f>
        <v>0</v>
      </c>
      <c r="CJ40" s="21">
        <f aca="true" t="shared" si="46" ref="CJ40:CJ73">+CH40+CI40</f>
        <v>0</v>
      </c>
      <c r="CK40" s="21">
        <f>SUM(CK41:CK46)</f>
        <v>0</v>
      </c>
      <c r="CL40" s="21">
        <f>SUM(CL41:CL46)</f>
        <v>0</v>
      </c>
      <c r="CM40" s="21">
        <f t="shared" si="42"/>
        <v>0</v>
      </c>
    </row>
    <row r="41" spans="1:91" ht="15">
      <c r="A41" s="8" t="s">
        <v>167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144317</v>
      </c>
      <c r="P41" s="3">
        <f aca="true" t="shared" si="47" ref="P41:P46">+N41+O41</f>
        <v>144317</v>
      </c>
      <c r="Q41" s="3"/>
      <c r="R41" s="3">
        <v>558859.92</v>
      </c>
      <c r="S41" s="3">
        <f aca="true" t="shared" si="48" ref="S41:S46">+Q41+R41</f>
        <v>558859.92</v>
      </c>
      <c r="T41" s="3"/>
      <c r="U41" s="3">
        <v>1056016.72</v>
      </c>
      <c r="V41" s="3">
        <f aca="true" t="shared" si="49" ref="V41:V46">+T41+U41</f>
        <v>1056016.72</v>
      </c>
      <c r="W41" s="3"/>
      <c r="X41" s="3">
        <v>2085173.76</v>
      </c>
      <c r="Y41" s="3">
        <f aca="true" t="shared" si="50" ref="Y41:Y46">+W41+X41</f>
        <v>2085173.76</v>
      </c>
      <c r="Z41" s="3"/>
      <c r="AA41" s="3">
        <v>2880413.99</v>
      </c>
      <c r="AB41" s="3">
        <f aca="true" t="shared" si="51" ref="AB41:AB46">+Z41+AA41</f>
        <v>2880413.99</v>
      </c>
      <c r="AC41" s="3"/>
      <c r="AD41" s="3">
        <v>3574738.03</v>
      </c>
      <c r="AE41" s="3">
        <f aca="true" t="shared" si="52" ref="AE41:AE46">+AC41+AD41</f>
        <v>3574738.03</v>
      </c>
      <c r="AF41" s="3">
        <v>2356321.48</v>
      </c>
      <c r="AG41" s="3">
        <f>2852067.96+194952</f>
        <v>3047019.96</v>
      </c>
      <c r="AH41" s="3">
        <f aca="true" t="shared" si="53" ref="AH41:AH46">+AF41+AG41</f>
        <v>5403341.4399999995</v>
      </c>
      <c r="AI41" s="3">
        <v>4537944</v>
      </c>
      <c r="AJ41" s="3">
        <f>2090687.81+12855.02</f>
        <v>2103542.83</v>
      </c>
      <c r="AK41" s="3">
        <f>+AI41+AJ41</f>
        <v>6641486.83</v>
      </c>
      <c r="AL41" s="3">
        <f>+'[1]INTRA'!$O$48</f>
        <v>4044126.8</v>
      </c>
      <c r="AM41" s="3">
        <f>+'[1]INTRA'!$N$48</f>
        <v>2313913.71</v>
      </c>
      <c r="AN41" s="3">
        <f>SUM(AL41:AM41)</f>
        <v>6358040.51</v>
      </c>
      <c r="AO41" s="3">
        <f>+'[2]INTRA'!$O$48</f>
        <v>3861056.2199999997</v>
      </c>
      <c r="AP41" s="11">
        <f>+'[2]INTRA'!$N$48</f>
        <v>2213968.29</v>
      </c>
      <c r="AQ41" s="3">
        <f>SUM(AO41:AP41)</f>
        <v>6075024.51</v>
      </c>
      <c r="AR41" s="11">
        <f>+'[3]ANO_08'!N89</f>
        <v>3139509.3899999997</v>
      </c>
      <c r="AS41" s="11">
        <f>+'[3]ANO_08'!O89</f>
        <v>1636100.35</v>
      </c>
      <c r="AT41" s="3">
        <f>SUM(AR41:AS41)</f>
        <v>4775609.74</v>
      </c>
      <c r="AU41" s="11">
        <f>+'[4]ANO_09'!N89</f>
        <v>4035741.51</v>
      </c>
      <c r="AV41" s="11">
        <f>+'[4]ANO_09'!O89</f>
        <v>1624819.39</v>
      </c>
      <c r="AW41" s="3">
        <f>SUM(AU41:AV41)</f>
        <v>5660560.899999999</v>
      </c>
      <c r="AX41" s="11">
        <v>3375419.72</v>
      </c>
      <c r="AY41" s="11">
        <v>1019117.1699999999</v>
      </c>
      <c r="AZ41" s="3">
        <f t="shared" si="11"/>
        <v>4394536.890000001</v>
      </c>
      <c r="BA41" s="11">
        <v>3073931.4299999997</v>
      </c>
      <c r="BB41" s="11">
        <v>661095.88</v>
      </c>
      <c r="BC41" s="3">
        <f t="shared" si="12"/>
        <v>3735027.3099999996</v>
      </c>
      <c r="BD41" s="85">
        <v>3545184.3</v>
      </c>
      <c r="BE41" s="85">
        <v>538400.14</v>
      </c>
      <c r="BF41" s="85">
        <v>4083584.4400000004</v>
      </c>
      <c r="BG41" s="85">
        <v>4114378.29</v>
      </c>
      <c r="BH41" s="85">
        <v>477352.56</v>
      </c>
      <c r="BI41" s="85">
        <v>4591730.85</v>
      </c>
      <c r="BJ41" s="85">
        <v>4327388.37</v>
      </c>
      <c r="BK41" s="85">
        <v>355601.41000000003</v>
      </c>
      <c r="BL41" s="85">
        <f t="shared" si="37"/>
        <v>4682989.78</v>
      </c>
      <c r="BM41" s="85">
        <v>6174453.619999999</v>
      </c>
      <c r="BN41" s="85">
        <v>324448.7</v>
      </c>
      <c r="BO41" s="85">
        <v>6498902.319999999</v>
      </c>
      <c r="BP41" s="85">
        <v>6809900.99</v>
      </c>
      <c r="BQ41" s="85">
        <v>276001.88</v>
      </c>
      <c r="BR41" s="85">
        <v>7085902.87</v>
      </c>
      <c r="BS41" s="85">
        <v>3000164.37</v>
      </c>
      <c r="BT41" s="85">
        <v>39119.4</v>
      </c>
      <c r="BU41" s="85">
        <v>3039283.77</v>
      </c>
      <c r="BV41" s="85">
        <v>0</v>
      </c>
      <c r="BW41" s="85">
        <v>0</v>
      </c>
      <c r="BX41" s="85">
        <v>0</v>
      </c>
      <c r="BY41" s="85">
        <v>0</v>
      </c>
      <c r="BZ41" s="85">
        <v>0</v>
      </c>
      <c r="CA41" s="85">
        <f t="shared" si="45"/>
        <v>0</v>
      </c>
      <c r="CB41" s="85">
        <v>0</v>
      </c>
      <c r="CC41" s="85">
        <v>0</v>
      </c>
      <c r="CD41" s="85">
        <f t="shared" si="39"/>
        <v>0</v>
      </c>
      <c r="CE41" s="85">
        <v>0</v>
      </c>
      <c r="CF41" s="85">
        <v>0</v>
      </c>
      <c r="CG41" s="85">
        <f t="shared" si="40"/>
        <v>0</v>
      </c>
      <c r="CH41" s="85">
        <v>0</v>
      </c>
      <c r="CI41" s="85">
        <v>0</v>
      </c>
      <c r="CJ41" s="85">
        <f t="shared" si="46"/>
        <v>0</v>
      </c>
      <c r="CK41" s="85">
        <v>0</v>
      </c>
      <c r="CL41" s="85">
        <v>0</v>
      </c>
      <c r="CM41" s="85">
        <f t="shared" si="42"/>
        <v>0</v>
      </c>
    </row>
    <row r="42" spans="1:91" ht="15">
      <c r="A42" s="8" t="s">
        <v>168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>
        <f t="shared" si="47"/>
        <v>0</v>
      </c>
      <c r="Q42" s="3"/>
      <c r="R42" s="3"/>
      <c r="S42" s="3">
        <f t="shared" si="48"/>
        <v>0</v>
      </c>
      <c r="T42" s="3"/>
      <c r="U42" s="3"/>
      <c r="V42" s="3">
        <f t="shared" si="49"/>
        <v>0</v>
      </c>
      <c r="W42" s="3"/>
      <c r="X42" s="3"/>
      <c r="Y42" s="3">
        <f t="shared" si="50"/>
        <v>0</v>
      </c>
      <c r="Z42" s="3"/>
      <c r="AA42" s="3"/>
      <c r="AB42" s="3">
        <f t="shared" si="51"/>
        <v>0</v>
      </c>
      <c r="AC42" s="3"/>
      <c r="AD42" s="3"/>
      <c r="AE42" s="3">
        <f t="shared" si="52"/>
        <v>0</v>
      </c>
      <c r="AF42" s="3"/>
      <c r="AG42" s="3"/>
      <c r="AH42" s="3">
        <f t="shared" si="53"/>
        <v>0</v>
      </c>
      <c r="AI42" s="3"/>
      <c r="AJ42" s="3"/>
      <c r="AK42" s="3">
        <f>+AI42+AJ42</f>
        <v>0</v>
      </c>
      <c r="AL42" s="3">
        <v>0</v>
      </c>
      <c r="AM42" s="3">
        <v>0</v>
      </c>
      <c r="AN42" s="3">
        <f>SUM(AL42:AM42)</f>
        <v>0</v>
      </c>
      <c r="AO42" s="3">
        <v>0</v>
      </c>
      <c r="AP42" s="11">
        <v>0</v>
      </c>
      <c r="AQ42" s="3">
        <f>SUM(AO42:AP42)</f>
        <v>0</v>
      </c>
      <c r="AR42" s="11">
        <v>0</v>
      </c>
      <c r="AS42" s="11">
        <v>0</v>
      </c>
      <c r="AT42" s="3">
        <f>SUM(AR42:AS42)</f>
        <v>0</v>
      </c>
      <c r="AU42" s="11">
        <f>+'[4]ANO_09'!N90</f>
        <v>0</v>
      </c>
      <c r="AV42" s="11">
        <f>+'[4]ANO_09'!O90</f>
        <v>0</v>
      </c>
      <c r="AW42" s="3">
        <f>SUM(AU42:AV42)</f>
        <v>0</v>
      </c>
      <c r="AX42" s="11">
        <v>0</v>
      </c>
      <c r="AY42" s="11">
        <v>0</v>
      </c>
      <c r="AZ42" s="3">
        <f t="shared" si="11"/>
        <v>0</v>
      </c>
      <c r="BA42" s="11">
        <v>19585.94</v>
      </c>
      <c r="BB42" s="11">
        <v>1078862.63</v>
      </c>
      <c r="BC42" s="3">
        <f>SUM(BA42:BB42)</f>
        <v>1098448.5699999998</v>
      </c>
      <c r="BD42" s="85">
        <v>2180457.3000000003</v>
      </c>
      <c r="BE42" s="85">
        <v>6138444.75</v>
      </c>
      <c r="BF42" s="85">
        <v>8318902.05</v>
      </c>
      <c r="BG42" s="85">
        <v>4589378.23</v>
      </c>
      <c r="BH42" s="85">
        <v>10699332.020000001</v>
      </c>
      <c r="BI42" s="85">
        <v>15288710.25</v>
      </c>
      <c r="BJ42" s="85">
        <v>7032461.8999999985</v>
      </c>
      <c r="BK42" s="85">
        <v>14944293.149999997</v>
      </c>
      <c r="BL42" s="85">
        <f t="shared" si="37"/>
        <v>21976755.049999997</v>
      </c>
      <c r="BM42" s="85">
        <v>8932023.64</v>
      </c>
      <c r="BN42" s="85">
        <v>17645665.94</v>
      </c>
      <c r="BO42" s="85">
        <v>26577689.580000002</v>
      </c>
      <c r="BP42" s="85">
        <v>9741018.120000001</v>
      </c>
      <c r="BQ42" s="85">
        <v>18078546.46</v>
      </c>
      <c r="BR42" s="85">
        <v>27819564.580000002</v>
      </c>
      <c r="BS42" s="85">
        <v>4695676.94</v>
      </c>
      <c r="BT42" s="85">
        <v>8170543.7</v>
      </c>
      <c r="BU42" s="85">
        <v>12866220.64</v>
      </c>
      <c r="BV42" s="85">
        <v>876823.93</v>
      </c>
      <c r="BW42" s="85">
        <v>5114.8099999999995</v>
      </c>
      <c r="BX42" s="85">
        <v>881938.7400000001</v>
      </c>
      <c r="BY42" s="85">
        <v>0</v>
      </c>
      <c r="BZ42" s="85">
        <v>0</v>
      </c>
      <c r="CA42" s="85">
        <f t="shared" si="45"/>
        <v>0</v>
      </c>
      <c r="CB42" s="85">
        <v>0</v>
      </c>
      <c r="CC42" s="85">
        <v>0</v>
      </c>
      <c r="CD42" s="85">
        <f t="shared" si="39"/>
        <v>0</v>
      </c>
      <c r="CE42" s="85">
        <v>0</v>
      </c>
      <c r="CF42" s="85">
        <v>0</v>
      </c>
      <c r="CG42" s="85">
        <f t="shared" si="40"/>
        <v>0</v>
      </c>
      <c r="CH42" s="85">
        <v>0</v>
      </c>
      <c r="CI42" s="85">
        <v>0</v>
      </c>
      <c r="CJ42" s="85">
        <f t="shared" si="46"/>
        <v>0</v>
      </c>
      <c r="CK42" s="85">
        <v>0</v>
      </c>
      <c r="CL42" s="85">
        <v>0</v>
      </c>
      <c r="CM42" s="85">
        <f t="shared" si="42"/>
        <v>0</v>
      </c>
    </row>
    <row r="43" spans="1:91" ht="15">
      <c r="A43" s="8" t="s">
        <v>169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>
        <f t="shared" si="47"/>
        <v>0</v>
      </c>
      <c r="Q43" s="3"/>
      <c r="R43" s="3"/>
      <c r="S43" s="3">
        <f t="shared" si="48"/>
        <v>0</v>
      </c>
      <c r="T43" s="3"/>
      <c r="U43" s="3"/>
      <c r="V43" s="3">
        <f t="shared" si="49"/>
        <v>0</v>
      </c>
      <c r="W43" s="3"/>
      <c r="X43" s="3"/>
      <c r="Y43" s="3">
        <f t="shared" si="50"/>
        <v>0</v>
      </c>
      <c r="Z43" s="3"/>
      <c r="AA43" s="3"/>
      <c r="AB43" s="3">
        <f t="shared" si="51"/>
        <v>0</v>
      </c>
      <c r="AC43" s="3"/>
      <c r="AD43" s="3"/>
      <c r="AE43" s="3">
        <f t="shared" si="52"/>
        <v>0</v>
      </c>
      <c r="AF43" s="3"/>
      <c r="AG43" s="3"/>
      <c r="AH43" s="3">
        <f t="shared" si="53"/>
        <v>0</v>
      </c>
      <c r="AI43" s="3"/>
      <c r="AJ43" s="3"/>
      <c r="AK43" s="3"/>
      <c r="AL43" s="3"/>
      <c r="AM43" s="3"/>
      <c r="AN43" s="3"/>
      <c r="AO43" s="3"/>
      <c r="AP43" s="11"/>
      <c r="AQ43" s="3"/>
      <c r="AR43" s="11"/>
      <c r="AS43" s="11"/>
      <c r="AT43" s="3"/>
      <c r="AU43" s="11"/>
      <c r="AV43" s="11"/>
      <c r="AW43" s="3"/>
      <c r="AX43" s="11"/>
      <c r="AY43" s="11"/>
      <c r="AZ43" s="3"/>
      <c r="BA43" s="11"/>
      <c r="BB43" s="11"/>
      <c r="BC43" s="3"/>
      <c r="BD43" s="85"/>
      <c r="BE43" s="85"/>
      <c r="BF43" s="85"/>
      <c r="BG43" s="85"/>
      <c r="BH43" s="85"/>
      <c r="BI43" s="85"/>
      <c r="BJ43" s="85">
        <v>212915.45</v>
      </c>
      <c r="BK43" s="85">
        <v>1085273.27</v>
      </c>
      <c r="BL43" s="85">
        <f t="shared" si="37"/>
        <v>1298188.72</v>
      </c>
      <c r="BM43" s="85">
        <v>1263996.94</v>
      </c>
      <c r="BN43" s="85">
        <v>3981538.3799999994</v>
      </c>
      <c r="BO43" s="85">
        <v>5245535.319999999</v>
      </c>
      <c r="BP43" s="85">
        <v>2217695.31</v>
      </c>
      <c r="BQ43" s="85">
        <v>6657183.52</v>
      </c>
      <c r="BR43" s="85">
        <v>8874878.83</v>
      </c>
      <c r="BS43" s="85">
        <v>1103836.16</v>
      </c>
      <c r="BT43" s="85">
        <v>3160850.88</v>
      </c>
      <c r="BU43" s="85">
        <v>4264687.04</v>
      </c>
      <c r="BV43" s="85">
        <v>0</v>
      </c>
      <c r="BW43" s="85">
        <v>0</v>
      </c>
      <c r="BX43" s="85">
        <v>0</v>
      </c>
      <c r="BY43" s="85">
        <v>0</v>
      </c>
      <c r="BZ43" s="85">
        <v>0</v>
      </c>
      <c r="CA43" s="85">
        <f t="shared" si="45"/>
        <v>0</v>
      </c>
      <c r="CB43" s="85">
        <v>0</v>
      </c>
      <c r="CC43" s="85">
        <v>0</v>
      </c>
      <c r="CD43" s="85">
        <f t="shared" si="39"/>
        <v>0</v>
      </c>
      <c r="CE43" s="85">
        <v>0</v>
      </c>
      <c r="CF43" s="85">
        <v>0</v>
      </c>
      <c r="CG43" s="85">
        <f t="shared" si="40"/>
        <v>0</v>
      </c>
      <c r="CH43" s="85">
        <v>0</v>
      </c>
      <c r="CI43" s="85">
        <v>0</v>
      </c>
      <c r="CJ43" s="85">
        <f t="shared" si="46"/>
        <v>0</v>
      </c>
      <c r="CK43" s="85">
        <v>0</v>
      </c>
      <c r="CL43" s="85">
        <v>0</v>
      </c>
      <c r="CM43" s="85">
        <f t="shared" si="42"/>
        <v>0</v>
      </c>
    </row>
    <row r="44" spans="1:91" ht="15">
      <c r="A44" s="8" t="s">
        <v>170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>
        <f t="shared" si="47"/>
        <v>0</v>
      </c>
      <c r="Q44" s="3"/>
      <c r="R44" s="3"/>
      <c r="S44" s="3">
        <f t="shared" si="48"/>
        <v>0</v>
      </c>
      <c r="T44" s="3"/>
      <c r="U44" s="3"/>
      <c r="V44" s="3">
        <f t="shared" si="49"/>
        <v>0</v>
      </c>
      <c r="W44" s="3"/>
      <c r="X44" s="3"/>
      <c r="Y44" s="3">
        <f t="shared" si="50"/>
        <v>0</v>
      </c>
      <c r="Z44" s="3"/>
      <c r="AA44" s="3"/>
      <c r="AB44" s="3">
        <f t="shared" si="51"/>
        <v>0</v>
      </c>
      <c r="AC44" s="3"/>
      <c r="AD44" s="3"/>
      <c r="AE44" s="3">
        <f t="shared" si="52"/>
        <v>0</v>
      </c>
      <c r="AF44" s="3"/>
      <c r="AG44" s="3"/>
      <c r="AH44" s="3">
        <f t="shared" si="53"/>
        <v>0</v>
      </c>
      <c r="AI44" s="3"/>
      <c r="AJ44" s="3"/>
      <c r="AK44" s="3"/>
      <c r="AL44" s="3"/>
      <c r="AM44" s="3"/>
      <c r="AN44" s="3"/>
      <c r="AO44" s="3"/>
      <c r="AP44" s="11"/>
      <c r="AQ44" s="3"/>
      <c r="AR44" s="11"/>
      <c r="AS44" s="11"/>
      <c r="AT44" s="3"/>
      <c r="AU44" s="11"/>
      <c r="AV44" s="11"/>
      <c r="AW44" s="3"/>
      <c r="AX44" s="11">
        <v>0</v>
      </c>
      <c r="AY44" s="11">
        <v>1190755.11</v>
      </c>
      <c r="AZ44" s="3">
        <f t="shared" si="11"/>
        <v>1190755.11</v>
      </c>
      <c r="BA44" s="11">
        <v>0</v>
      </c>
      <c r="BB44" s="11">
        <v>25168594.45</v>
      </c>
      <c r="BC44" s="3">
        <f>SUM(BA44:BB44)</f>
        <v>25168594.45</v>
      </c>
      <c r="BD44" s="85">
        <v>47841330.65</v>
      </c>
      <c r="BE44" s="85">
        <v>41627054.37</v>
      </c>
      <c r="BF44" s="85">
        <v>89468385.01999998</v>
      </c>
      <c r="BG44" s="85">
        <v>68088094.21</v>
      </c>
      <c r="BH44" s="85">
        <v>30991175.69</v>
      </c>
      <c r="BI44" s="85">
        <v>99079269.89999999</v>
      </c>
      <c r="BJ44" s="85">
        <v>72909695.66</v>
      </c>
      <c r="BK44" s="85">
        <v>28085144.99</v>
      </c>
      <c r="BL44" s="85">
        <f t="shared" si="37"/>
        <v>100994840.64999999</v>
      </c>
      <c r="BM44" s="85">
        <v>74901411.35</v>
      </c>
      <c r="BN44" s="85">
        <v>26758815.619999994</v>
      </c>
      <c r="BO44" s="85">
        <v>101660226.96999998</v>
      </c>
      <c r="BP44" s="85">
        <v>70237139.92</v>
      </c>
      <c r="BQ44" s="85">
        <v>27492724.310000002</v>
      </c>
      <c r="BR44" s="85">
        <v>97729864.23</v>
      </c>
      <c r="BS44" s="85">
        <v>0</v>
      </c>
      <c r="BT44" s="85">
        <v>0</v>
      </c>
      <c r="BU44" s="85">
        <v>0</v>
      </c>
      <c r="BV44" s="85">
        <v>0</v>
      </c>
      <c r="BW44" s="85">
        <v>0</v>
      </c>
      <c r="BX44" s="85">
        <v>0</v>
      </c>
      <c r="BY44" s="85">
        <v>0</v>
      </c>
      <c r="BZ44" s="85">
        <v>0</v>
      </c>
      <c r="CA44" s="85">
        <f t="shared" si="45"/>
        <v>0</v>
      </c>
      <c r="CB44" s="85">
        <v>0</v>
      </c>
      <c r="CC44" s="85">
        <v>0</v>
      </c>
      <c r="CD44" s="85">
        <f t="shared" si="39"/>
        <v>0</v>
      </c>
      <c r="CE44" s="85">
        <v>0</v>
      </c>
      <c r="CF44" s="85">
        <v>0</v>
      </c>
      <c r="CG44" s="85">
        <f t="shared" si="40"/>
        <v>0</v>
      </c>
      <c r="CH44" s="85">
        <v>0</v>
      </c>
      <c r="CI44" s="85">
        <v>0</v>
      </c>
      <c r="CJ44" s="85">
        <f t="shared" si="46"/>
        <v>0</v>
      </c>
      <c r="CK44" s="85">
        <v>0</v>
      </c>
      <c r="CL44" s="85">
        <v>0</v>
      </c>
      <c r="CM44" s="85">
        <f t="shared" si="42"/>
        <v>0</v>
      </c>
    </row>
    <row r="45" spans="1:91" ht="15">
      <c r="A45" s="8" t="s">
        <v>171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>
        <f t="shared" si="47"/>
        <v>0</v>
      </c>
      <c r="Q45" s="3"/>
      <c r="R45" s="3"/>
      <c r="S45" s="3">
        <f t="shared" si="48"/>
        <v>0</v>
      </c>
      <c r="T45" s="3"/>
      <c r="U45" s="3"/>
      <c r="V45" s="3">
        <f t="shared" si="49"/>
        <v>0</v>
      </c>
      <c r="W45" s="3"/>
      <c r="X45" s="3"/>
      <c r="Y45" s="3">
        <f t="shared" si="50"/>
        <v>0</v>
      </c>
      <c r="Z45" s="3"/>
      <c r="AA45" s="3"/>
      <c r="AB45" s="3">
        <f t="shared" si="51"/>
        <v>0</v>
      </c>
      <c r="AC45" s="3"/>
      <c r="AD45" s="3"/>
      <c r="AE45" s="3">
        <f t="shared" si="52"/>
        <v>0</v>
      </c>
      <c r="AF45" s="3"/>
      <c r="AG45" s="3"/>
      <c r="AH45" s="3">
        <f t="shared" si="53"/>
        <v>0</v>
      </c>
      <c r="AI45" s="3"/>
      <c r="AJ45" s="3"/>
      <c r="AK45" s="3"/>
      <c r="AL45" s="3"/>
      <c r="AM45" s="3"/>
      <c r="AN45" s="3"/>
      <c r="AO45" s="3"/>
      <c r="AP45" s="11"/>
      <c r="AQ45" s="3"/>
      <c r="AR45" s="11"/>
      <c r="AS45" s="11"/>
      <c r="AT45" s="3"/>
      <c r="AU45" s="11"/>
      <c r="AV45" s="11"/>
      <c r="AW45" s="3"/>
      <c r="AX45" s="11"/>
      <c r="AY45" s="11"/>
      <c r="AZ45" s="3"/>
      <c r="BA45" s="11"/>
      <c r="BB45" s="11"/>
      <c r="BC45" s="3"/>
      <c r="BD45" s="85"/>
      <c r="BE45" s="85"/>
      <c r="BF45" s="85"/>
      <c r="BG45" s="85">
        <v>0</v>
      </c>
      <c r="BH45" s="85">
        <v>15908899.26</v>
      </c>
      <c r="BI45" s="85">
        <v>15908899.26</v>
      </c>
      <c r="BJ45" s="85">
        <v>0</v>
      </c>
      <c r="BK45" s="85">
        <v>36946609.72</v>
      </c>
      <c r="BL45" s="85">
        <f t="shared" si="37"/>
        <v>36946609.72</v>
      </c>
      <c r="BM45" s="85">
        <v>0</v>
      </c>
      <c r="BN45" s="85">
        <v>56349725.20000001</v>
      </c>
      <c r="BO45" s="85">
        <v>56349725.20000001</v>
      </c>
      <c r="BP45" s="85">
        <v>0</v>
      </c>
      <c r="BQ45" s="85">
        <v>86950420.42</v>
      </c>
      <c r="BR45" s="85">
        <v>86950420.42</v>
      </c>
      <c r="BS45" s="85">
        <v>0</v>
      </c>
      <c r="BT45" s="85">
        <v>41826327.05</v>
      </c>
      <c r="BU45" s="85">
        <v>41826327.05</v>
      </c>
      <c r="BV45" s="85">
        <v>0</v>
      </c>
      <c r="BW45" s="85">
        <v>0</v>
      </c>
      <c r="BX45" s="85">
        <v>0</v>
      </c>
      <c r="BY45" s="85">
        <v>0</v>
      </c>
      <c r="BZ45" s="85">
        <v>0</v>
      </c>
      <c r="CA45" s="85">
        <f t="shared" si="45"/>
        <v>0</v>
      </c>
      <c r="CB45" s="85">
        <v>0</v>
      </c>
      <c r="CC45" s="85">
        <v>0</v>
      </c>
      <c r="CD45" s="85">
        <f t="shared" si="39"/>
        <v>0</v>
      </c>
      <c r="CE45" s="85">
        <v>0</v>
      </c>
      <c r="CF45" s="85">
        <v>0</v>
      </c>
      <c r="CG45" s="85">
        <f t="shared" si="40"/>
        <v>0</v>
      </c>
      <c r="CH45" s="85">
        <v>0</v>
      </c>
      <c r="CI45" s="85">
        <v>0</v>
      </c>
      <c r="CJ45" s="85">
        <f t="shared" si="46"/>
        <v>0</v>
      </c>
      <c r="CK45" s="85">
        <v>0</v>
      </c>
      <c r="CL45" s="85">
        <v>0</v>
      </c>
      <c r="CM45" s="85">
        <f t="shared" si="42"/>
        <v>0</v>
      </c>
    </row>
    <row r="46" spans="1:91" ht="15">
      <c r="A46" s="8" t="s">
        <v>172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>
        <f t="shared" si="47"/>
        <v>0</v>
      </c>
      <c r="Q46" s="3"/>
      <c r="R46" s="3"/>
      <c r="S46" s="3">
        <f t="shared" si="48"/>
        <v>0</v>
      </c>
      <c r="T46" s="3"/>
      <c r="U46" s="3"/>
      <c r="V46" s="3">
        <f t="shared" si="49"/>
        <v>0</v>
      </c>
      <c r="W46" s="3"/>
      <c r="X46" s="3"/>
      <c r="Y46" s="3">
        <f t="shared" si="50"/>
        <v>0</v>
      </c>
      <c r="Z46" s="3"/>
      <c r="AA46" s="3"/>
      <c r="AB46" s="3">
        <f t="shared" si="51"/>
        <v>0</v>
      </c>
      <c r="AC46" s="3"/>
      <c r="AD46" s="3"/>
      <c r="AE46" s="3">
        <f t="shared" si="52"/>
        <v>0</v>
      </c>
      <c r="AF46" s="3"/>
      <c r="AG46" s="3"/>
      <c r="AH46" s="3">
        <f t="shared" si="53"/>
        <v>0</v>
      </c>
      <c r="AI46" s="3"/>
      <c r="AJ46" s="3"/>
      <c r="AK46" s="3"/>
      <c r="AL46" s="3"/>
      <c r="AM46" s="3"/>
      <c r="AN46" s="3"/>
      <c r="AO46" s="3"/>
      <c r="AP46" s="11"/>
      <c r="AQ46" s="3"/>
      <c r="AR46" s="11"/>
      <c r="AS46" s="11"/>
      <c r="AT46" s="3"/>
      <c r="AU46" s="11"/>
      <c r="AV46" s="11"/>
      <c r="AW46" s="3"/>
      <c r="AX46" s="11"/>
      <c r="AY46" s="11"/>
      <c r="AZ46" s="3"/>
      <c r="BA46" s="11"/>
      <c r="BB46" s="11"/>
      <c r="BC46" s="3"/>
      <c r="BD46" s="85"/>
      <c r="BE46" s="85"/>
      <c r="BF46" s="85"/>
      <c r="BG46" s="85"/>
      <c r="BH46" s="85"/>
      <c r="BI46" s="85"/>
      <c r="BJ46" s="85">
        <v>0</v>
      </c>
      <c r="BK46" s="85">
        <v>46255.670000000006</v>
      </c>
      <c r="BL46" s="85">
        <f t="shared" si="37"/>
        <v>46255.670000000006</v>
      </c>
      <c r="BM46" s="85">
        <v>1000060.28</v>
      </c>
      <c r="BN46" s="85">
        <v>65937.84</v>
      </c>
      <c r="BO46" s="85">
        <v>1065998.12</v>
      </c>
      <c r="BP46" s="85">
        <v>2349.3199999999997</v>
      </c>
      <c r="BQ46" s="85">
        <v>7494.82</v>
      </c>
      <c r="BR46" s="85">
        <v>9844.14</v>
      </c>
      <c r="BS46" s="85">
        <v>83315.04</v>
      </c>
      <c r="BT46" s="85">
        <v>6183.3099999999995</v>
      </c>
      <c r="BU46" s="85">
        <v>89498.34999999999</v>
      </c>
      <c r="BV46" s="85">
        <v>0</v>
      </c>
      <c r="BW46" s="85">
        <v>0</v>
      </c>
      <c r="BX46" s="85">
        <v>0</v>
      </c>
      <c r="BY46" s="85">
        <v>0</v>
      </c>
      <c r="BZ46" s="85">
        <v>0</v>
      </c>
      <c r="CA46" s="85">
        <f t="shared" si="45"/>
        <v>0</v>
      </c>
      <c r="CB46" s="85">
        <v>0</v>
      </c>
      <c r="CC46" s="85">
        <v>0</v>
      </c>
      <c r="CD46" s="85">
        <f t="shared" si="39"/>
        <v>0</v>
      </c>
      <c r="CE46" s="85">
        <v>0</v>
      </c>
      <c r="CF46" s="85">
        <v>0</v>
      </c>
      <c r="CG46" s="85">
        <f t="shared" si="40"/>
        <v>0</v>
      </c>
      <c r="CH46" s="85">
        <v>0</v>
      </c>
      <c r="CI46" s="85">
        <v>0</v>
      </c>
      <c r="CJ46" s="85">
        <f t="shared" si="46"/>
        <v>0</v>
      </c>
      <c r="CK46" s="85">
        <v>0</v>
      </c>
      <c r="CL46" s="85">
        <v>0</v>
      </c>
      <c r="CM46" s="85">
        <f t="shared" si="42"/>
        <v>0</v>
      </c>
    </row>
    <row r="47" spans="1:91" ht="15">
      <c r="A47" s="20" t="s">
        <v>136</v>
      </c>
      <c r="B47" s="21">
        <f aca="true" t="shared" si="54" ref="B47:AK47">SUM(B48:B53)</f>
        <v>0</v>
      </c>
      <c r="C47" s="21">
        <f t="shared" si="54"/>
        <v>0</v>
      </c>
      <c r="D47" s="21">
        <f t="shared" si="54"/>
        <v>0</v>
      </c>
      <c r="E47" s="21">
        <f t="shared" si="54"/>
        <v>0</v>
      </c>
      <c r="F47" s="21">
        <f t="shared" si="54"/>
        <v>0</v>
      </c>
      <c r="G47" s="21">
        <f t="shared" si="54"/>
        <v>0</v>
      </c>
      <c r="H47" s="21">
        <f t="shared" si="54"/>
        <v>0</v>
      </c>
      <c r="I47" s="21">
        <f t="shared" si="54"/>
        <v>0</v>
      </c>
      <c r="J47" s="21">
        <f t="shared" si="54"/>
        <v>0</v>
      </c>
      <c r="K47" s="21">
        <f t="shared" si="54"/>
        <v>0</v>
      </c>
      <c r="L47" s="21">
        <f t="shared" si="54"/>
        <v>0</v>
      </c>
      <c r="M47" s="21">
        <f t="shared" si="54"/>
        <v>0</v>
      </c>
      <c r="N47" s="21">
        <f t="shared" si="54"/>
        <v>0</v>
      </c>
      <c r="O47" s="21">
        <f t="shared" si="54"/>
        <v>0</v>
      </c>
      <c r="P47" s="21">
        <f t="shared" si="54"/>
        <v>0</v>
      </c>
      <c r="Q47" s="21">
        <f t="shared" si="54"/>
        <v>0</v>
      </c>
      <c r="R47" s="21">
        <f t="shared" si="54"/>
        <v>39173.66</v>
      </c>
      <c r="S47" s="21">
        <f t="shared" si="54"/>
        <v>39173.66</v>
      </c>
      <c r="T47" s="21">
        <f t="shared" si="54"/>
        <v>0</v>
      </c>
      <c r="U47" s="21">
        <f t="shared" si="54"/>
        <v>372908.21</v>
      </c>
      <c r="V47" s="21">
        <f t="shared" si="54"/>
        <v>372908.21</v>
      </c>
      <c r="W47" s="21">
        <f t="shared" si="54"/>
        <v>0</v>
      </c>
      <c r="X47" s="21">
        <f t="shared" si="54"/>
        <v>370848.14</v>
      </c>
      <c r="Y47" s="21">
        <f t="shared" si="54"/>
        <v>370848.14</v>
      </c>
      <c r="Z47" s="21">
        <f t="shared" si="54"/>
        <v>0</v>
      </c>
      <c r="AA47" s="21">
        <f t="shared" si="54"/>
        <v>506448.38</v>
      </c>
      <c r="AB47" s="21">
        <f t="shared" si="54"/>
        <v>506448.38</v>
      </c>
      <c r="AC47" s="21">
        <f t="shared" si="54"/>
        <v>0</v>
      </c>
      <c r="AD47" s="21">
        <f t="shared" si="54"/>
        <v>692753.68</v>
      </c>
      <c r="AE47" s="21">
        <f t="shared" si="54"/>
        <v>692753.68</v>
      </c>
      <c r="AF47" s="21">
        <f t="shared" si="54"/>
        <v>0</v>
      </c>
      <c r="AG47" s="21">
        <f t="shared" si="54"/>
        <v>629407.56</v>
      </c>
      <c r="AH47" s="21">
        <f t="shared" si="54"/>
        <v>629407.56</v>
      </c>
      <c r="AI47" s="21">
        <f t="shared" si="54"/>
        <v>0</v>
      </c>
      <c r="AJ47" s="21">
        <f t="shared" si="54"/>
        <v>791475.45</v>
      </c>
      <c r="AK47" s="21">
        <f t="shared" si="54"/>
        <v>791475.45</v>
      </c>
      <c r="AL47" s="21">
        <f>SUM(AL48:AL53)</f>
        <v>0</v>
      </c>
      <c r="AM47" s="21">
        <f aca="true" t="shared" si="55" ref="AM47:BR47">SUM(AM48:AM53)</f>
        <v>804570.61</v>
      </c>
      <c r="AN47" s="21">
        <f t="shared" si="55"/>
        <v>804570.61</v>
      </c>
      <c r="AO47" s="21">
        <f t="shared" si="55"/>
        <v>0</v>
      </c>
      <c r="AP47" s="21">
        <f t="shared" si="55"/>
        <v>844574.51</v>
      </c>
      <c r="AQ47" s="21">
        <f t="shared" si="55"/>
        <v>844574.51</v>
      </c>
      <c r="AR47" s="21">
        <f t="shared" si="55"/>
        <v>0</v>
      </c>
      <c r="AS47" s="21">
        <f t="shared" si="55"/>
        <v>941581.15</v>
      </c>
      <c r="AT47" s="21">
        <f t="shared" si="55"/>
        <v>941581.15</v>
      </c>
      <c r="AU47" s="21">
        <f t="shared" si="55"/>
        <v>0</v>
      </c>
      <c r="AV47" s="21">
        <f t="shared" si="55"/>
        <v>2079675.0100000002</v>
      </c>
      <c r="AW47" s="21">
        <f t="shared" si="55"/>
        <v>2079675.0100000002</v>
      </c>
      <c r="AX47" s="21">
        <f t="shared" si="55"/>
        <v>2741567.7800000003</v>
      </c>
      <c r="AY47" s="21">
        <f t="shared" si="55"/>
        <v>13160426.059999999</v>
      </c>
      <c r="AZ47" s="21">
        <f t="shared" si="55"/>
        <v>15901993.839999998</v>
      </c>
      <c r="BA47" s="21">
        <f t="shared" si="55"/>
        <v>8107462.68</v>
      </c>
      <c r="BB47" s="21">
        <f t="shared" si="55"/>
        <v>14145583.420000002</v>
      </c>
      <c r="BC47" s="21">
        <f t="shared" si="55"/>
        <v>22253046.1</v>
      </c>
      <c r="BD47" s="21">
        <f t="shared" si="55"/>
        <v>20495830.32</v>
      </c>
      <c r="BE47" s="21">
        <f t="shared" si="55"/>
        <v>56865103.339999996</v>
      </c>
      <c r="BF47" s="21">
        <f t="shared" si="55"/>
        <v>77360933.66000001</v>
      </c>
      <c r="BG47" s="21">
        <f t="shared" si="55"/>
        <v>21622045.56</v>
      </c>
      <c r="BH47" s="21">
        <f t="shared" si="55"/>
        <v>231544496.42000002</v>
      </c>
      <c r="BI47" s="21">
        <f t="shared" si="55"/>
        <v>253166541.98000002</v>
      </c>
      <c r="BJ47" s="21">
        <f t="shared" si="55"/>
        <v>21622045.56</v>
      </c>
      <c r="BK47" s="21">
        <f t="shared" si="55"/>
        <v>348130858.44000006</v>
      </c>
      <c r="BL47" s="21">
        <f t="shared" si="55"/>
        <v>369752904</v>
      </c>
      <c r="BM47" s="21">
        <f t="shared" si="55"/>
        <v>73950923.73</v>
      </c>
      <c r="BN47" s="21">
        <f t="shared" si="55"/>
        <v>553083115.66</v>
      </c>
      <c r="BO47" s="21">
        <f t="shared" si="55"/>
        <v>627034039.39</v>
      </c>
      <c r="BP47" s="21">
        <f t="shared" si="55"/>
        <v>70239168.92999999</v>
      </c>
      <c r="BQ47" s="21">
        <f t="shared" si="55"/>
        <v>467634132.37</v>
      </c>
      <c r="BR47" s="21">
        <f t="shared" si="55"/>
        <v>537873301.3000001</v>
      </c>
      <c r="BS47" s="21">
        <v>22048112.529999997</v>
      </c>
      <c r="BT47" s="21">
        <v>39694548.88580001</v>
      </c>
      <c r="BU47" s="21">
        <v>61742661.415800005</v>
      </c>
      <c r="BV47" s="21">
        <v>19176237.560000002</v>
      </c>
      <c r="BW47" s="21">
        <v>1833508.81</v>
      </c>
      <c r="BX47" s="21">
        <v>21009746.37</v>
      </c>
      <c r="BY47" s="21">
        <f>SUM(BY48:BY53)</f>
        <v>13958632.54</v>
      </c>
      <c r="BZ47" s="21">
        <f>SUM(BZ48:BZ53)</f>
        <v>631803.21</v>
      </c>
      <c r="CA47" s="21">
        <f t="shared" si="45"/>
        <v>14590435.75</v>
      </c>
      <c r="CB47" s="21">
        <f>SUM(CB48:CB53)</f>
        <v>1163756.35</v>
      </c>
      <c r="CC47" s="21">
        <f>SUM(CC48:CC53)</f>
        <v>6507.53</v>
      </c>
      <c r="CD47" s="21">
        <f t="shared" si="39"/>
        <v>1170263.8800000001</v>
      </c>
      <c r="CE47" s="21">
        <f>SUM(CE48:CE53)</f>
        <v>0</v>
      </c>
      <c r="CF47" s="21">
        <f>SUM(CF48:CF53)</f>
        <v>0</v>
      </c>
      <c r="CG47" s="21">
        <f t="shared" si="40"/>
        <v>0</v>
      </c>
      <c r="CH47" s="21">
        <f>SUM(CH48:CH53)</f>
        <v>0</v>
      </c>
      <c r="CI47" s="21">
        <f>SUM(CI48:CI53)</f>
        <v>0</v>
      </c>
      <c r="CJ47" s="21">
        <f t="shared" si="46"/>
        <v>0</v>
      </c>
      <c r="CK47" s="21">
        <f>SUM(CK48:CK53)</f>
        <v>0</v>
      </c>
      <c r="CL47" s="21">
        <f>SUM(CL48:CL53)</f>
        <v>0</v>
      </c>
      <c r="CM47" s="21">
        <f t="shared" si="42"/>
        <v>0</v>
      </c>
    </row>
    <row r="48" spans="1:91" ht="15">
      <c r="A48" s="8" t="s">
        <v>173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>
        <v>0</v>
      </c>
      <c r="AM48" s="3">
        <v>0</v>
      </c>
      <c r="AN48" s="3">
        <f>SUM(AL48:AM48)</f>
        <v>0</v>
      </c>
      <c r="AO48" s="3">
        <v>0</v>
      </c>
      <c r="AP48" s="11">
        <v>0</v>
      </c>
      <c r="AQ48" s="3">
        <f>SUM(AO48:AP48)</f>
        <v>0</v>
      </c>
      <c r="AR48" s="11">
        <v>0</v>
      </c>
      <c r="AS48" s="11">
        <v>0</v>
      </c>
      <c r="AT48" s="3">
        <f>SUM(AR48:AS48)</f>
        <v>0</v>
      </c>
      <c r="AU48" s="11">
        <f>+'[4]ANO_09'!N91</f>
        <v>0</v>
      </c>
      <c r="AV48" s="11">
        <f>+'[4]ANO_09'!O91</f>
        <v>1121942.8800000001</v>
      </c>
      <c r="AW48" s="3">
        <f>SUM(AU48:AV48)</f>
        <v>1121942.8800000001</v>
      </c>
      <c r="AX48" s="11">
        <v>2741567.7800000003</v>
      </c>
      <c r="AY48" s="11">
        <v>12150423.62</v>
      </c>
      <c r="AZ48" s="3">
        <f>SUM(AX48:AY48)</f>
        <v>14891991.399999999</v>
      </c>
      <c r="BA48" s="11">
        <v>7638500.04</v>
      </c>
      <c r="BB48" s="11">
        <v>12091666.430000002</v>
      </c>
      <c r="BC48" s="3">
        <f>SUM(BA48:BB48)</f>
        <v>19730166.470000003</v>
      </c>
      <c r="BD48" s="85">
        <v>18141437.54</v>
      </c>
      <c r="BE48" s="85">
        <v>11968827.249999998</v>
      </c>
      <c r="BF48" s="85">
        <v>30110264.789999995</v>
      </c>
      <c r="BG48" s="85">
        <v>19096250.04</v>
      </c>
      <c r="BH48" s="85">
        <v>8333794.249999998</v>
      </c>
      <c r="BI48" s="85">
        <v>27430044.29</v>
      </c>
      <c r="BJ48" s="85">
        <v>19096250.04</v>
      </c>
      <c r="BK48" s="85">
        <v>6930931.949999999</v>
      </c>
      <c r="BL48" s="85">
        <f t="shared" si="37"/>
        <v>26027181.99</v>
      </c>
      <c r="BM48" s="85">
        <v>19110565.169999998</v>
      </c>
      <c r="BN48" s="85">
        <v>6167851.830000001</v>
      </c>
      <c r="BO48" s="85">
        <v>25278417</v>
      </c>
      <c r="BP48" s="85">
        <v>19303569.54</v>
      </c>
      <c r="BQ48" s="85">
        <v>5181817.48</v>
      </c>
      <c r="BR48" s="85">
        <v>24485387.02</v>
      </c>
      <c r="BS48" s="85">
        <v>19522317.009999998</v>
      </c>
      <c r="BT48" s="85">
        <v>3305255.47</v>
      </c>
      <c r="BU48" s="85">
        <v>22827572.479999997</v>
      </c>
      <c r="BV48" s="85">
        <v>17080324.26</v>
      </c>
      <c r="BW48" s="85">
        <v>1683197.24</v>
      </c>
      <c r="BX48" s="85">
        <v>18763521.5</v>
      </c>
      <c r="BY48" s="85">
        <v>11901799.659999998</v>
      </c>
      <c r="BZ48" s="85">
        <v>574756.85</v>
      </c>
      <c r="CA48" s="85">
        <f t="shared" si="45"/>
        <v>12476556.509999998</v>
      </c>
      <c r="CB48" s="85">
        <v>992353.61</v>
      </c>
      <c r="CC48" s="85">
        <v>5879.24</v>
      </c>
      <c r="CD48" s="85">
        <f t="shared" si="39"/>
        <v>998232.85</v>
      </c>
      <c r="CE48" s="85">
        <v>0</v>
      </c>
      <c r="CF48" s="85">
        <v>0</v>
      </c>
      <c r="CG48" s="85">
        <f t="shared" si="40"/>
        <v>0</v>
      </c>
      <c r="CH48" s="85">
        <v>0</v>
      </c>
      <c r="CI48" s="85">
        <v>0</v>
      </c>
      <c r="CJ48" s="85">
        <f t="shared" si="46"/>
        <v>0</v>
      </c>
      <c r="CK48" s="85">
        <v>0</v>
      </c>
      <c r="CL48" s="85">
        <v>0</v>
      </c>
      <c r="CM48" s="85">
        <f t="shared" si="42"/>
        <v>0</v>
      </c>
    </row>
    <row r="49" spans="1:91" ht="15">
      <c r="A49" s="8" t="s">
        <v>174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11"/>
      <c r="AQ49" s="3"/>
      <c r="AR49" s="11"/>
      <c r="AS49" s="11"/>
      <c r="AT49" s="3"/>
      <c r="AU49" s="11"/>
      <c r="AV49" s="11"/>
      <c r="AW49" s="3"/>
      <c r="AX49" s="11"/>
      <c r="AY49" s="11"/>
      <c r="AZ49" s="3"/>
      <c r="BA49" s="11">
        <v>468962.6399999999</v>
      </c>
      <c r="BB49" s="11">
        <v>956290.4699999999</v>
      </c>
      <c r="BC49" s="3">
        <f>SUM(BA49:BB49)</f>
        <v>1425253.1099999999</v>
      </c>
      <c r="BD49" s="85">
        <v>2354392.78</v>
      </c>
      <c r="BE49" s="85">
        <v>1008784.8</v>
      </c>
      <c r="BF49" s="85">
        <v>3363177.58</v>
      </c>
      <c r="BG49" s="85">
        <v>2525795.52</v>
      </c>
      <c r="BH49" s="85">
        <v>756026.5599999999</v>
      </c>
      <c r="BI49" s="85">
        <v>3281822.0799999996</v>
      </c>
      <c r="BJ49" s="85">
        <v>2525795.52</v>
      </c>
      <c r="BK49" s="85">
        <v>632480.4500000001</v>
      </c>
      <c r="BL49" s="85">
        <f t="shared" si="37"/>
        <v>3158275.97</v>
      </c>
      <c r="BM49" s="85">
        <v>2525795.52</v>
      </c>
      <c r="BN49" s="85">
        <v>510152.80000000005</v>
      </c>
      <c r="BO49" s="85">
        <v>3035948.3200000003</v>
      </c>
      <c r="BP49" s="85">
        <v>2525795.52</v>
      </c>
      <c r="BQ49" s="85">
        <v>395265.02</v>
      </c>
      <c r="BR49" s="85">
        <v>2921060.54</v>
      </c>
      <c r="BS49" s="85">
        <v>2525795.52</v>
      </c>
      <c r="BT49" s="85">
        <v>262578.51</v>
      </c>
      <c r="BU49" s="85">
        <v>2788374.0300000003</v>
      </c>
      <c r="BV49" s="85">
        <v>2095913.2999999998</v>
      </c>
      <c r="BW49" s="85">
        <v>150311.56999999998</v>
      </c>
      <c r="BX49" s="85">
        <v>2246224.8699999996</v>
      </c>
      <c r="BY49" s="85">
        <v>2056832.88</v>
      </c>
      <c r="BZ49" s="85">
        <v>57046.36000000001</v>
      </c>
      <c r="CA49" s="85">
        <f t="shared" si="45"/>
        <v>2113879.2399999998</v>
      </c>
      <c r="CB49" s="85">
        <v>171402.74</v>
      </c>
      <c r="CC49" s="85">
        <v>628.29</v>
      </c>
      <c r="CD49" s="85">
        <f t="shared" si="39"/>
        <v>172031.03</v>
      </c>
      <c r="CE49" s="85">
        <v>0</v>
      </c>
      <c r="CF49" s="85">
        <v>0</v>
      </c>
      <c r="CG49" s="85">
        <f t="shared" si="40"/>
        <v>0</v>
      </c>
      <c r="CH49" s="85">
        <v>0</v>
      </c>
      <c r="CI49" s="85">
        <v>0</v>
      </c>
      <c r="CJ49" s="85">
        <f t="shared" si="46"/>
        <v>0</v>
      </c>
      <c r="CK49" s="85">
        <v>0</v>
      </c>
      <c r="CL49" s="85">
        <v>0</v>
      </c>
      <c r="CM49" s="85">
        <f t="shared" si="42"/>
        <v>0</v>
      </c>
    </row>
    <row r="50" spans="1:91" ht="15">
      <c r="A50" s="8" t="s">
        <v>175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11"/>
      <c r="AQ50" s="3"/>
      <c r="AR50" s="11"/>
      <c r="AS50" s="11"/>
      <c r="AT50" s="3"/>
      <c r="AU50" s="11"/>
      <c r="AV50" s="11"/>
      <c r="AW50" s="3"/>
      <c r="AX50" s="11"/>
      <c r="AY50" s="11"/>
      <c r="AZ50" s="3"/>
      <c r="BA50" s="11"/>
      <c r="BB50" s="11"/>
      <c r="BC50" s="3"/>
      <c r="BD50" s="85"/>
      <c r="BE50" s="85">
        <v>42725656</v>
      </c>
      <c r="BF50" s="85">
        <v>42725656</v>
      </c>
      <c r="BG50" s="85">
        <v>0</v>
      </c>
      <c r="BH50" s="85">
        <v>130692257.4</v>
      </c>
      <c r="BI50" s="85">
        <v>130692257.4</v>
      </c>
      <c r="BJ50" s="85">
        <v>0</v>
      </c>
      <c r="BK50" s="85">
        <v>162589218.94</v>
      </c>
      <c r="BL50" s="85">
        <f t="shared" si="37"/>
        <v>162589218.94</v>
      </c>
      <c r="BM50" s="85">
        <v>0</v>
      </c>
      <c r="BN50" s="85">
        <v>274366872.21999997</v>
      </c>
      <c r="BO50" s="85">
        <v>274366872.21999997</v>
      </c>
      <c r="BP50" s="85">
        <v>0</v>
      </c>
      <c r="BQ50" s="85">
        <v>165139696.77</v>
      </c>
      <c r="BR50" s="85">
        <v>165139696.77</v>
      </c>
      <c r="BS50" s="85">
        <v>0</v>
      </c>
      <c r="BT50" s="85">
        <v>0</v>
      </c>
      <c r="BU50" s="85">
        <v>0</v>
      </c>
      <c r="BV50" s="85">
        <v>0</v>
      </c>
      <c r="BW50" s="85">
        <v>0</v>
      </c>
      <c r="BX50" s="85">
        <v>0</v>
      </c>
      <c r="BY50" s="85">
        <v>0</v>
      </c>
      <c r="BZ50" s="85">
        <v>0</v>
      </c>
      <c r="CA50" s="85">
        <f t="shared" si="45"/>
        <v>0</v>
      </c>
      <c r="CB50" s="85">
        <v>0</v>
      </c>
      <c r="CC50" s="85">
        <v>0</v>
      </c>
      <c r="CD50" s="85">
        <f t="shared" si="39"/>
        <v>0</v>
      </c>
      <c r="CE50" s="85">
        <v>0</v>
      </c>
      <c r="CF50" s="85">
        <v>0</v>
      </c>
      <c r="CG50" s="85">
        <f t="shared" si="40"/>
        <v>0</v>
      </c>
      <c r="CH50" s="85">
        <v>0</v>
      </c>
      <c r="CI50" s="85">
        <v>0</v>
      </c>
      <c r="CJ50" s="85">
        <f t="shared" si="46"/>
        <v>0</v>
      </c>
      <c r="CK50" s="85">
        <v>0</v>
      </c>
      <c r="CL50" s="85">
        <v>0</v>
      </c>
      <c r="CM50" s="85">
        <f t="shared" si="42"/>
        <v>0</v>
      </c>
    </row>
    <row r="51" spans="1:91" ht="15">
      <c r="A51" s="8" t="s">
        <v>176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11"/>
      <c r="AQ51" s="3"/>
      <c r="AR51" s="11"/>
      <c r="AS51" s="11"/>
      <c r="AT51" s="3"/>
      <c r="AU51" s="11"/>
      <c r="AV51" s="11"/>
      <c r="AW51" s="3"/>
      <c r="AX51" s="11"/>
      <c r="AY51" s="11"/>
      <c r="AZ51" s="3"/>
      <c r="BA51" s="11"/>
      <c r="BB51" s="11"/>
      <c r="BC51" s="3"/>
      <c r="BD51" s="85"/>
      <c r="BE51" s="85"/>
      <c r="BF51" s="85"/>
      <c r="BG51" s="85">
        <v>0</v>
      </c>
      <c r="BH51" s="85">
        <v>28053705.53</v>
      </c>
      <c r="BI51" s="85">
        <v>28053705.53</v>
      </c>
      <c r="BJ51" s="85">
        <v>0</v>
      </c>
      <c r="BK51" s="85">
        <v>55892838.24</v>
      </c>
      <c r="BL51" s="85">
        <f t="shared" si="37"/>
        <v>55892838.24</v>
      </c>
      <c r="BM51" s="85">
        <v>52314563.04000001</v>
      </c>
      <c r="BN51" s="85">
        <v>62490961.52</v>
      </c>
      <c r="BO51" s="85">
        <v>114805524.56</v>
      </c>
      <c r="BP51" s="85">
        <v>48409803.87</v>
      </c>
      <c r="BQ51" s="85">
        <v>60702381.86999999</v>
      </c>
      <c r="BR51" s="85">
        <v>109112185.73999998</v>
      </c>
      <c r="BS51" s="85">
        <v>0</v>
      </c>
      <c r="BT51" s="85">
        <v>0</v>
      </c>
      <c r="BU51" s="85">
        <v>0</v>
      </c>
      <c r="BV51" s="85">
        <v>0</v>
      </c>
      <c r="BW51" s="85">
        <v>0</v>
      </c>
      <c r="BX51" s="85">
        <v>0</v>
      </c>
      <c r="BY51" s="85">
        <v>0</v>
      </c>
      <c r="BZ51" s="85">
        <v>0</v>
      </c>
      <c r="CA51" s="85">
        <f t="shared" si="45"/>
        <v>0</v>
      </c>
      <c r="CB51" s="85">
        <v>0</v>
      </c>
      <c r="CC51" s="85">
        <v>0</v>
      </c>
      <c r="CD51" s="85">
        <f t="shared" si="39"/>
        <v>0</v>
      </c>
      <c r="CE51" s="85">
        <v>0</v>
      </c>
      <c r="CF51" s="85">
        <v>0</v>
      </c>
      <c r="CG51" s="85">
        <f t="shared" si="40"/>
        <v>0</v>
      </c>
      <c r="CH51" s="85">
        <v>0</v>
      </c>
      <c r="CI51" s="85">
        <v>0</v>
      </c>
      <c r="CJ51" s="85">
        <f t="shared" si="46"/>
        <v>0</v>
      </c>
      <c r="CK51" s="85">
        <v>0</v>
      </c>
      <c r="CL51" s="85">
        <v>0</v>
      </c>
      <c r="CM51" s="85">
        <f t="shared" si="42"/>
        <v>0</v>
      </c>
    </row>
    <row r="52" spans="1:91" ht="15">
      <c r="A52" s="8" t="s">
        <v>177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11"/>
      <c r="AQ52" s="3"/>
      <c r="AR52" s="11"/>
      <c r="AS52" s="11"/>
      <c r="AT52" s="3"/>
      <c r="AU52" s="11"/>
      <c r="AV52" s="11"/>
      <c r="AW52" s="3"/>
      <c r="AX52" s="11"/>
      <c r="AY52" s="11"/>
      <c r="AZ52" s="3"/>
      <c r="BA52" s="11"/>
      <c r="BB52" s="11"/>
      <c r="BC52" s="3"/>
      <c r="BD52" s="85"/>
      <c r="BE52" s="85"/>
      <c r="BF52" s="85"/>
      <c r="BG52" s="85">
        <v>0</v>
      </c>
      <c r="BH52" s="85">
        <v>62475094.28</v>
      </c>
      <c r="BI52" s="85">
        <v>62475094.28</v>
      </c>
      <c r="BJ52" s="85">
        <v>0</v>
      </c>
      <c r="BK52" s="85">
        <v>120784953.11000001</v>
      </c>
      <c r="BL52" s="85">
        <f t="shared" si="37"/>
        <v>120784953.11000001</v>
      </c>
      <c r="BM52" s="85">
        <v>0</v>
      </c>
      <c r="BN52" s="85">
        <v>208280382.68</v>
      </c>
      <c r="BO52" s="85">
        <v>208280382.68</v>
      </c>
      <c r="BP52" s="85">
        <v>0</v>
      </c>
      <c r="BQ52" s="85">
        <v>235718068.86</v>
      </c>
      <c r="BR52" s="85">
        <v>235718068.86</v>
      </c>
      <c r="BS52" s="85">
        <v>0</v>
      </c>
      <c r="BT52" s="85">
        <v>34678013.635800004</v>
      </c>
      <c r="BU52" s="85">
        <v>34678013.635800004</v>
      </c>
      <c r="BV52" s="85">
        <v>0</v>
      </c>
      <c r="BW52" s="85">
        <v>0</v>
      </c>
      <c r="BX52" s="85">
        <v>0</v>
      </c>
      <c r="BY52" s="85">
        <v>0</v>
      </c>
      <c r="BZ52" s="85">
        <v>0</v>
      </c>
      <c r="CA52" s="85">
        <f t="shared" si="45"/>
        <v>0</v>
      </c>
      <c r="CB52" s="85">
        <v>0</v>
      </c>
      <c r="CC52" s="85">
        <v>0</v>
      </c>
      <c r="CD52" s="85">
        <f t="shared" si="39"/>
        <v>0</v>
      </c>
      <c r="CE52" s="85">
        <v>0</v>
      </c>
      <c r="CF52" s="85">
        <v>0</v>
      </c>
      <c r="CG52" s="85">
        <f t="shared" si="40"/>
        <v>0</v>
      </c>
      <c r="CH52" s="85">
        <v>0</v>
      </c>
      <c r="CI52" s="85">
        <v>0</v>
      </c>
      <c r="CJ52" s="85">
        <f t="shared" si="46"/>
        <v>0</v>
      </c>
      <c r="CK52" s="85">
        <v>0</v>
      </c>
      <c r="CL52" s="85">
        <v>0</v>
      </c>
      <c r="CM52" s="85">
        <f t="shared" si="42"/>
        <v>0</v>
      </c>
    </row>
    <row r="53" spans="1:91" s="24" customFormat="1" ht="15">
      <c r="A53" s="13" t="s">
        <v>178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>
        <v>39173.66</v>
      </c>
      <c r="S53" s="22">
        <f>+Q53+R53</f>
        <v>39173.66</v>
      </c>
      <c r="T53" s="22"/>
      <c r="U53" s="22">
        <v>372908.21</v>
      </c>
      <c r="V53" s="22">
        <f>+T53+U53</f>
        <v>372908.21</v>
      </c>
      <c r="W53" s="22"/>
      <c r="X53" s="22">
        <v>370848.14</v>
      </c>
      <c r="Y53" s="22">
        <f>+W53+X53</f>
        <v>370848.14</v>
      </c>
      <c r="Z53" s="22"/>
      <c r="AA53" s="22">
        <v>506448.38</v>
      </c>
      <c r="AB53" s="22">
        <f>+Z53+AA53</f>
        <v>506448.38</v>
      </c>
      <c r="AC53" s="22"/>
      <c r="AD53" s="22">
        <v>692753.68</v>
      </c>
      <c r="AE53" s="22">
        <f>+AC53+AD53</f>
        <v>692753.68</v>
      </c>
      <c r="AF53" s="22"/>
      <c r="AG53" s="22">
        <v>629407.56</v>
      </c>
      <c r="AH53" s="22">
        <f>+AF53+AG53</f>
        <v>629407.56</v>
      </c>
      <c r="AI53" s="22"/>
      <c r="AJ53" s="22">
        <v>791475.45</v>
      </c>
      <c r="AK53" s="22">
        <f>+AI53+AJ53</f>
        <v>791475.45</v>
      </c>
      <c r="AL53" s="22"/>
      <c r="AM53" s="22">
        <v>804570.61</v>
      </c>
      <c r="AN53" s="22">
        <f>SUM(AL53:AM53)</f>
        <v>804570.61</v>
      </c>
      <c r="AO53" s="22"/>
      <c r="AP53" s="23">
        <v>844574.51</v>
      </c>
      <c r="AQ53" s="22">
        <f>SUM(AO53:AP53)</f>
        <v>844574.51</v>
      </c>
      <c r="AR53" s="23">
        <v>0</v>
      </c>
      <c r="AS53" s="23">
        <v>941581.15</v>
      </c>
      <c r="AT53" s="22">
        <f>SUM(AR53:AS53)</f>
        <v>941581.15</v>
      </c>
      <c r="AU53" s="23">
        <v>0</v>
      </c>
      <c r="AV53" s="23">
        <v>957732.13</v>
      </c>
      <c r="AW53" s="22">
        <f>SUM(AU53:AV53)</f>
        <v>957732.13</v>
      </c>
      <c r="AX53" s="23">
        <v>0</v>
      </c>
      <c r="AY53" s="23">
        <v>1010002.4400000001</v>
      </c>
      <c r="AZ53" s="22">
        <f>SUM(AX53:AY53)</f>
        <v>1010002.4400000001</v>
      </c>
      <c r="BA53" s="23">
        <v>0</v>
      </c>
      <c r="BB53" s="23">
        <v>1097626.52</v>
      </c>
      <c r="BC53" s="22">
        <f>SUM(BA53:BB53)</f>
        <v>1097626.52</v>
      </c>
      <c r="BD53" s="85"/>
      <c r="BE53" s="85">
        <v>1161835.29</v>
      </c>
      <c r="BF53" s="85">
        <v>1161835.29</v>
      </c>
      <c r="BG53" s="85">
        <v>0</v>
      </c>
      <c r="BH53" s="85">
        <v>1233618.4</v>
      </c>
      <c r="BI53" s="85">
        <v>1233618.4</v>
      </c>
      <c r="BJ53" s="85">
        <v>0</v>
      </c>
      <c r="BK53" s="85">
        <v>1300435.75</v>
      </c>
      <c r="BL53" s="85">
        <f>+BJ53+BK53</f>
        <v>1300435.75</v>
      </c>
      <c r="BM53" s="85">
        <v>0</v>
      </c>
      <c r="BN53" s="85">
        <v>1266894.6099999999</v>
      </c>
      <c r="BO53" s="85">
        <v>1266894.6099999999</v>
      </c>
      <c r="BP53" s="85">
        <v>0</v>
      </c>
      <c r="BQ53" s="85">
        <v>496902.37</v>
      </c>
      <c r="BR53" s="85">
        <v>496902.37</v>
      </c>
      <c r="BS53" s="85">
        <v>0</v>
      </c>
      <c r="BT53" s="85">
        <v>1448701.27</v>
      </c>
      <c r="BU53" s="85">
        <v>1448701.27</v>
      </c>
      <c r="BV53" s="85">
        <v>0</v>
      </c>
      <c r="BW53" s="85">
        <v>0</v>
      </c>
      <c r="BX53" s="85">
        <v>0</v>
      </c>
      <c r="BY53" s="85">
        <v>0</v>
      </c>
      <c r="BZ53" s="85">
        <v>0</v>
      </c>
      <c r="CA53" s="85">
        <f t="shared" si="45"/>
        <v>0</v>
      </c>
      <c r="CB53" s="85">
        <v>0</v>
      </c>
      <c r="CC53" s="85">
        <v>0</v>
      </c>
      <c r="CD53" s="85">
        <f t="shared" si="39"/>
        <v>0</v>
      </c>
      <c r="CE53" s="85">
        <v>0</v>
      </c>
      <c r="CF53" s="85">
        <v>0</v>
      </c>
      <c r="CG53" s="85">
        <f t="shared" si="40"/>
        <v>0</v>
      </c>
      <c r="CH53" s="85">
        <v>0</v>
      </c>
      <c r="CI53" s="85">
        <v>0</v>
      </c>
      <c r="CJ53" s="85">
        <f t="shared" si="46"/>
        <v>0</v>
      </c>
      <c r="CK53" s="85">
        <v>0</v>
      </c>
      <c r="CL53" s="85">
        <v>0</v>
      </c>
      <c r="CM53" s="85">
        <f t="shared" si="42"/>
        <v>0</v>
      </c>
    </row>
    <row r="54" spans="1:91" s="24" customFormat="1" ht="15">
      <c r="A54" s="20" t="s">
        <v>135</v>
      </c>
      <c r="B54" s="21">
        <f aca="true" t="shared" si="56" ref="B54:AK54">+B55</f>
        <v>0</v>
      </c>
      <c r="C54" s="21">
        <f t="shared" si="56"/>
        <v>0</v>
      </c>
      <c r="D54" s="21">
        <f t="shared" si="56"/>
        <v>0</v>
      </c>
      <c r="E54" s="21">
        <f t="shared" si="56"/>
        <v>0</v>
      </c>
      <c r="F54" s="21">
        <f t="shared" si="56"/>
        <v>0</v>
      </c>
      <c r="G54" s="21">
        <f t="shared" si="56"/>
        <v>0</v>
      </c>
      <c r="H54" s="21">
        <f t="shared" si="56"/>
        <v>0</v>
      </c>
      <c r="I54" s="21">
        <f t="shared" si="56"/>
        <v>0</v>
      </c>
      <c r="J54" s="21">
        <f t="shared" si="56"/>
        <v>0</v>
      </c>
      <c r="K54" s="21">
        <f t="shared" si="56"/>
        <v>0</v>
      </c>
      <c r="L54" s="21">
        <f t="shared" si="56"/>
        <v>0</v>
      </c>
      <c r="M54" s="21">
        <f t="shared" si="56"/>
        <v>0</v>
      </c>
      <c r="N54" s="21">
        <f t="shared" si="56"/>
        <v>0</v>
      </c>
      <c r="O54" s="21">
        <f t="shared" si="56"/>
        <v>0</v>
      </c>
      <c r="P54" s="21">
        <f t="shared" si="56"/>
        <v>0</v>
      </c>
      <c r="Q54" s="21">
        <f t="shared" si="56"/>
        <v>0</v>
      </c>
      <c r="R54" s="21">
        <f t="shared" si="56"/>
        <v>0</v>
      </c>
      <c r="S54" s="21">
        <f t="shared" si="56"/>
        <v>0</v>
      </c>
      <c r="T54" s="21">
        <f t="shared" si="56"/>
        <v>0</v>
      </c>
      <c r="U54" s="21">
        <f t="shared" si="56"/>
        <v>0</v>
      </c>
      <c r="V54" s="21">
        <f t="shared" si="56"/>
        <v>0</v>
      </c>
      <c r="W54" s="21">
        <f t="shared" si="56"/>
        <v>0</v>
      </c>
      <c r="X54" s="21">
        <f t="shared" si="56"/>
        <v>0</v>
      </c>
      <c r="Y54" s="21">
        <f t="shared" si="56"/>
        <v>0</v>
      </c>
      <c r="Z54" s="21">
        <f t="shared" si="56"/>
        <v>0</v>
      </c>
      <c r="AA54" s="21">
        <f t="shared" si="56"/>
        <v>0</v>
      </c>
      <c r="AB54" s="21">
        <f t="shared" si="56"/>
        <v>0</v>
      </c>
      <c r="AC54" s="21">
        <f t="shared" si="56"/>
        <v>0</v>
      </c>
      <c r="AD54" s="21">
        <f t="shared" si="56"/>
        <v>0</v>
      </c>
      <c r="AE54" s="21">
        <f t="shared" si="56"/>
        <v>0</v>
      </c>
      <c r="AF54" s="21">
        <f t="shared" si="56"/>
        <v>0</v>
      </c>
      <c r="AG54" s="21">
        <f t="shared" si="56"/>
        <v>0</v>
      </c>
      <c r="AH54" s="21">
        <f t="shared" si="56"/>
        <v>0</v>
      </c>
      <c r="AI54" s="21">
        <f t="shared" si="56"/>
        <v>0</v>
      </c>
      <c r="AJ54" s="21">
        <f t="shared" si="56"/>
        <v>0</v>
      </c>
      <c r="AK54" s="21">
        <f t="shared" si="56"/>
        <v>0</v>
      </c>
      <c r="AL54" s="21">
        <f>+AL55</f>
        <v>0</v>
      </c>
      <c r="AM54" s="21">
        <f aca="true" t="shared" si="57" ref="AM54:BJ54">+AM55</f>
        <v>0</v>
      </c>
      <c r="AN54" s="21">
        <f t="shared" si="57"/>
        <v>0</v>
      </c>
      <c r="AO54" s="21">
        <f t="shared" si="57"/>
        <v>0</v>
      </c>
      <c r="AP54" s="21">
        <f t="shared" si="57"/>
        <v>0</v>
      </c>
      <c r="AQ54" s="21">
        <f t="shared" si="57"/>
        <v>0</v>
      </c>
      <c r="AR54" s="21">
        <f t="shared" si="57"/>
        <v>0</v>
      </c>
      <c r="AS54" s="21">
        <f t="shared" si="57"/>
        <v>0</v>
      </c>
      <c r="AT54" s="21">
        <f t="shared" si="57"/>
        <v>0</v>
      </c>
      <c r="AU54" s="21">
        <f t="shared" si="57"/>
        <v>0</v>
      </c>
      <c r="AV54" s="21">
        <f t="shared" si="57"/>
        <v>0</v>
      </c>
      <c r="AW54" s="21">
        <f t="shared" si="57"/>
        <v>0</v>
      </c>
      <c r="AX54" s="21">
        <f t="shared" si="57"/>
        <v>0</v>
      </c>
      <c r="AY54" s="21">
        <f t="shared" si="57"/>
        <v>0</v>
      </c>
      <c r="AZ54" s="21">
        <f t="shared" si="57"/>
        <v>0</v>
      </c>
      <c r="BA54" s="21">
        <f t="shared" si="57"/>
        <v>0</v>
      </c>
      <c r="BB54" s="21">
        <f t="shared" si="57"/>
        <v>0</v>
      </c>
      <c r="BC54" s="21">
        <f t="shared" si="57"/>
        <v>0</v>
      </c>
      <c r="BD54" s="21">
        <f t="shared" si="57"/>
        <v>0</v>
      </c>
      <c r="BE54" s="21">
        <f t="shared" si="57"/>
        <v>0</v>
      </c>
      <c r="BF54" s="21">
        <f t="shared" si="57"/>
        <v>0</v>
      </c>
      <c r="BG54" s="21">
        <f t="shared" si="57"/>
        <v>0</v>
      </c>
      <c r="BH54" s="21">
        <f t="shared" si="57"/>
        <v>0</v>
      </c>
      <c r="BI54" s="21">
        <f t="shared" si="57"/>
        <v>0</v>
      </c>
      <c r="BJ54" s="21">
        <f t="shared" si="57"/>
        <v>0</v>
      </c>
      <c r="BK54" s="21">
        <f>+SUM(BK55:BK56)</f>
        <v>1162147.21</v>
      </c>
      <c r="BL54" s="21">
        <f aca="true" t="shared" si="58" ref="BL54:BR54">+SUM(BL55:BL56)</f>
        <v>1162147.21</v>
      </c>
      <c r="BM54" s="21">
        <f t="shared" si="58"/>
        <v>0</v>
      </c>
      <c r="BN54" s="21">
        <f t="shared" si="58"/>
        <v>118393218.74000001</v>
      </c>
      <c r="BO54" s="21">
        <f t="shared" si="58"/>
        <v>118393218.74000001</v>
      </c>
      <c r="BP54" s="21">
        <f t="shared" si="58"/>
        <v>52203478.47</v>
      </c>
      <c r="BQ54" s="21">
        <f t="shared" si="58"/>
        <v>133176870.09</v>
      </c>
      <c r="BR54" s="21">
        <f t="shared" si="58"/>
        <v>185380348.56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0</v>
      </c>
      <c r="BY54" s="21">
        <f>SUM(BY55:BY56)</f>
        <v>0</v>
      </c>
      <c r="BZ54" s="21">
        <f>SUM(BZ55:BZ56)</f>
        <v>0</v>
      </c>
      <c r="CA54" s="21">
        <f t="shared" si="45"/>
        <v>0</v>
      </c>
      <c r="CB54" s="21">
        <f>SUM(CB55:CB56)</f>
        <v>0</v>
      </c>
      <c r="CC54" s="21">
        <f>SUM(CC55:CC56)</f>
        <v>0</v>
      </c>
      <c r="CD54" s="21">
        <f t="shared" si="39"/>
        <v>0</v>
      </c>
      <c r="CE54" s="21">
        <f>SUM(CE55:CE56)</f>
        <v>0</v>
      </c>
      <c r="CF54" s="21">
        <f>SUM(CF55:CF56)</f>
        <v>0</v>
      </c>
      <c r="CG54" s="21">
        <f t="shared" si="40"/>
        <v>0</v>
      </c>
      <c r="CH54" s="21">
        <f>SUM(CH55:CH56)</f>
        <v>0</v>
      </c>
      <c r="CI54" s="21">
        <f>SUM(CI55:CI56)</f>
        <v>0</v>
      </c>
      <c r="CJ54" s="21">
        <f t="shared" si="46"/>
        <v>0</v>
      </c>
      <c r="CK54" s="21">
        <f>SUM(CK55:CK56)</f>
        <v>0</v>
      </c>
      <c r="CL54" s="21">
        <f>SUM(CL55:CL56)</f>
        <v>0</v>
      </c>
      <c r="CM54" s="21">
        <f t="shared" si="42"/>
        <v>0</v>
      </c>
    </row>
    <row r="55" spans="1:91" ht="15">
      <c r="A55" s="13" t="s">
        <v>179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11"/>
      <c r="AQ55" s="3"/>
      <c r="AR55" s="11"/>
      <c r="AS55" s="11"/>
      <c r="AT55" s="3"/>
      <c r="AU55" s="11"/>
      <c r="AV55" s="11"/>
      <c r="AW55" s="3"/>
      <c r="AX55" s="11"/>
      <c r="AY55" s="11"/>
      <c r="AZ55" s="3"/>
      <c r="BA55" s="11"/>
      <c r="BB55" s="11"/>
      <c r="BC55" s="3"/>
      <c r="BD55" s="85"/>
      <c r="BE55" s="85"/>
      <c r="BF55" s="85"/>
      <c r="BG55" s="85"/>
      <c r="BH55" s="85"/>
      <c r="BI55" s="85"/>
      <c r="BJ55" s="85">
        <v>0</v>
      </c>
      <c r="BK55" s="85">
        <v>664084.12</v>
      </c>
      <c r="BL55" s="85">
        <f t="shared" si="37"/>
        <v>664084.12</v>
      </c>
      <c r="BM55" s="85">
        <v>0</v>
      </c>
      <c r="BN55" s="85">
        <v>69928587.79</v>
      </c>
      <c r="BO55" s="85">
        <v>69928587.79</v>
      </c>
      <c r="BP55" s="85">
        <v>29864973.48</v>
      </c>
      <c r="BQ55" s="85">
        <v>75939203.58</v>
      </c>
      <c r="BR55" s="85">
        <v>105804177.06</v>
      </c>
      <c r="BS55" s="85">
        <v>0</v>
      </c>
      <c r="BT55" s="85">
        <v>0</v>
      </c>
      <c r="BU55" s="85">
        <v>0</v>
      </c>
      <c r="BV55" s="85">
        <v>0</v>
      </c>
      <c r="BW55" s="85">
        <v>0</v>
      </c>
      <c r="BX55" s="85">
        <v>0</v>
      </c>
      <c r="BY55" s="85">
        <v>0</v>
      </c>
      <c r="BZ55" s="85">
        <v>0</v>
      </c>
      <c r="CA55" s="85">
        <f t="shared" si="45"/>
        <v>0</v>
      </c>
      <c r="CB55" s="85">
        <v>0</v>
      </c>
      <c r="CC55" s="85">
        <v>0</v>
      </c>
      <c r="CD55" s="85">
        <f t="shared" si="39"/>
        <v>0</v>
      </c>
      <c r="CE55" s="85">
        <v>0</v>
      </c>
      <c r="CF55" s="85">
        <v>0</v>
      </c>
      <c r="CG55" s="85">
        <f t="shared" si="40"/>
        <v>0</v>
      </c>
      <c r="CH55" s="85">
        <v>0</v>
      </c>
      <c r="CI55" s="85">
        <v>0</v>
      </c>
      <c r="CJ55" s="85">
        <f t="shared" si="46"/>
        <v>0</v>
      </c>
      <c r="CK55" s="85">
        <v>0</v>
      </c>
      <c r="CL55" s="85">
        <v>0</v>
      </c>
      <c r="CM55" s="85">
        <f t="shared" si="42"/>
        <v>0</v>
      </c>
    </row>
    <row r="56" spans="1:91" ht="15">
      <c r="A56" s="13" t="s">
        <v>180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11"/>
      <c r="AQ56" s="3"/>
      <c r="AR56" s="11"/>
      <c r="AS56" s="11"/>
      <c r="AT56" s="3"/>
      <c r="AU56" s="11"/>
      <c r="AV56" s="11"/>
      <c r="AW56" s="3"/>
      <c r="AX56" s="11"/>
      <c r="AY56" s="11"/>
      <c r="AZ56" s="3"/>
      <c r="BA56" s="11"/>
      <c r="BB56" s="11"/>
      <c r="BC56" s="3"/>
      <c r="BD56" s="85"/>
      <c r="BE56" s="85"/>
      <c r="BF56" s="85"/>
      <c r="BG56" s="85"/>
      <c r="BH56" s="85"/>
      <c r="BI56" s="85"/>
      <c r="BJ56" s="85">
        <v>0</v>
      </c>
      <c r="BK56" s="85">
        <v>498063.09</v>
      </c>
      <c r="BL56" s="85">
        <f t="shared" si="37"/>
        <v>498063.09</v>
      </c>
      <c r="BM56" s="85">
        <v>0</v>
      </c>
      <c r="BN56" s="85">
        <v>48464630.95</v>
      </c>
      <c r="BO56" s="85">
        <v>48464630.95</v>
      </c>
      <c r="BP56" s="85">
        <v>22338504.99</v>
      </c>
      <c r="BQ56" s="85">
        <v>57237666.51</v>
      </c>
      <c r="BR56" s="85">
        <v>79576171.5</v>
      </c>
      <c r="BS56" s="85">
        <v>0</v>
      </c>
      <c r="BT56" s="85">
        <v>0</v>
      </c>
      <c r="BU56" s="85">
        <v>0</v>
      </c>
      <c r="BV56" s="85">
        <v>0</v>
      </c>
      <c r="BW56" s="85">
        <v>0</v>
      </c>
      <c r="BX56" s="85">
        <v>0</v>
      </c>
      <c r="BY56" s="85">
        <v>0</v>
      </c>
      <c r="BZ56" s="85">
        <v>0</v>
      </c>
      <c r="CA56" s="85">
        <f t="shared" si="45"/>
        <v>0</v>
      </c>
      <c r="CB56" s="85">
        <v>0</v>
      </c>
      <c r="CC56" s="85">
        <v>0</v>
      </c>
      <c r="CD56" s="85">
        <f t="shared" si="39"/>
        <v>0</v>
      </c>
      <c r="CE56" s="85">
        <v>0</v>
      </c>
      <c r="CF56" s="85">
        <v>0</v>
      </c>
      <c r="CG56" s="85">
        <f t="shared" si="40"/>
        <v>0</v>
      </c>
      <c r="CH56" s="85">
        <v>0</v>
      </c>
      <c r="CI56" s="85">
        <v>0</v>
      </c>
      <c r="CJ56" s="85">
        <f t="shared" si="46"/>
        <v>0</v>
      </c>
      <c r="CK56" s="85">
        <v>0</v>
      </c>
      <c r="CL56" s="85">
        <v>0</v>
      </c>
      <c r="CM56" s="85">
        <f t="shared" si="42"/>
        <v>0</v>
      </c>
    </row>
    <row r="57" spans="1:91" ht="15">
      <c r="A57" s="20" t="s">
        <v>139</v>
      </c>
      <c r="B57" s="21">
        <f aca="true" t="shared" si="59" ref="B57:AK57">SUM(B58:B60)</f>
        <v>0</v>
      </c>
      <c r="C57" s="21">
        <f t="shared" si="59"/>
        <v>0</v>
      </c>
      <c r="D57" s="21">
        <f t="shared" si="59"/>
        <v>0</v>
      </c>
      <c r="E57" s="21">
        <f t="shared" si="59"/>
        <v>0</v>
      </c>
      <c r="F57" s="21">
        <f t="shared" si="59"/>
        <v>0</v>
      </c>
      <c r="G57" s="21">
        <f t="shared" si="59"/>
        <v>0</v>
      </c>
      <c r="H57" s="21">
        <f t="shared" si="59"/>
        <v>0</v>
      </c>
      <c r="I57" s="21">
        <f t="shared" si="59"/>
        <v>0</v>
      </c>
      <c r="J57" s="21">
        <f t="shared" si="59"/>
        <v>0</v>
      </c>
      <c r="K57" s="21">
        <f t="shared" si="59"/>
        <v>0</v>
      </c>
      <c r="L57" s="21">
        <f t="shared" si="59"/>
        <v>0</v>
      </c>
      <c r="M57" s="21">
        <f t="shared" si="59"/>
        <v>0</v>
      </c>
      <c r="N57" s="21">
        <f t="shared" si="59"/>
        <v>0</v>
      </c>
      <c r="O57" s="21">
        <f t="shared" si="59"/>
        <v>0</v>
      </c>
      <c r="P57" s="21">
        <f t="shared" si="59"/>
        <v>0</v>
      </c>
      <c r="Q57" s="21">
        <f t="shared" si="59"/>
        <v>0</v>
      </c>
      <c r="R57" s="21">
        <f t="shared" si="59"/>
        <v>0</v>
      </c>
      <c r="S57" s="21">
        <f t="shared" si="59"/>
        <v>0</v>
      </c>
      <c r="T57" s="21">
        <f t="shared" si="59"/>
        <v>0</v>
      </c>
      <c r="U57" s="21">
        <f t="shared" si="59"/>
        <v>0</v>
      </c>
      <c r="V57" s="21">
        <f t="shared" si="59"/>
        <v>0</v>
      </c>
      <c r="W57" s="21">
        <f t="shared" si="59"/>
        <v>0</v>
      </c>
      <c r="X57" s="21">
        <f t="shared" si="59"/>
        <v>0</v>
      </c>
      <c r="Y57" s="21">
        <f t="shared" si="59"/>
        <v>0</v>
      </c>
      <c r="Z57" s="21">
        <f t="shared" si="59"/>
        <v>3667633.0700000003</v>
      </c>
      <c r="AA57" s="21">
        <f t="shared" si="59"/>
        <v>0</v>
      </c>
      <c r="AB57" s="21">
        <f t="shared" si="59"/>
        <v>3667633.0700000003</v>
      </c>
      <c r="AC57" s="21">
        <f t="shared" si="59"/>
        <v>9100848.22</v>
      </c>
      <c r="AD57" s="21">
        <f t="shared" si="59"/>
        <v>0</v>
      </c>
      <c r="AE57" s="21">
        <f t="shared" si="59"/>
        <v>9100848.22</v>
      </c>
      <c r="AF57" s="21">
        <f t="shared" si="59"/>
        <v>10429593.41</v>
      </c>
      <c r="AG57" s="21">
        <f t="shared" si="59"/>
        <v>0</v>
      </c>
      <c r="AH57" s="21">
        <f t="shared" si="59"/>
        <v>10429593.41</v>
      </c>
      <c r="AI57" s="21">
        <f t="shared" si="59"/>
        <v>12344785.54</v>
      </c>
      <c r="AJ57" s="21">
        <f t="shared" si="59"/>
        <v>0</v>
      </c>
      <c r="AK57" s="21">
        <f t="shared" si="59"/>
        <v>12344785.54</v>
      </c>
      <c r="AL57" s="21">
        <f aca="true" t="shared" si="60" ref="AL57:BR57">SUM(AL58:AL60)</f>
        <v>14604783.89</v>
      </c>
      <c r="AM57" s="21">
        <f t="shared" si="60"/>
        <v>0</v>
      </c>
      <c r="AN57" s="21">
        <f t="shared" si="60"/>
        <v>14604783.89</v>
      </c>
      <c r="AO57" s="21">
        <f t="shared" si="60"/>
        <v>19704967.53</v>
      </c>
      <c r="AP57" s="21">
        <f t="shared" si="60"/>
        <v>0</v>
      </c>
      <c r="AQ57" s="21">
        <f t="shared" si="60"/>
        <v>19704967.53</v>
      </c>
      <c r="AR57" s="21">
        <f t="shared" si="60"/>
        <v>24040246.61</v>
      </c>
      <c r="AS57" s="21">
        <f t="shared" si="60"/>
        <v>0</v>
      </c>
      <c r="AT57" s="21">
        <f t="shared" si="60"/>
        <v>24040246.61</v>
      </c>
      <c r="AU57" s="21">
        <f t="shared" si="60"/>
        <v>24763542.86</v>
      </c>
      <c r="AV57" s="21">
        <f t="shared" si="60"/>
        <v>0</v>
      </c>
      <c r="AW57" s="21">
        <f t="shared" si="60"/>
        <v>24763542.86</v>
      </c>
      <c r="AX57" s="21">
        <f t="shared" si="60"/>
        <v>26939772.000000004</v>
      </c>
      <c r="AY57" s="21">
        <f t="shared" si="60"/>
        <v>0</v>
      </c>
      <c r="AZ57" s="21">
        <f t="shared" si="60"/>
        <v>26939772.000000004</v>
      </c>
      <c r="BA57" s="21">
        <f t="shared" si="60"/>
        <v>49023412.07</v>
      </c>
      <c r="BB57" s="21">
        <f t="shared" si="60"/>
        <v>0</v>
      </c>
      <c r="BC57" s="21">
        <f t="shared" si="60"/>
        <v>49023412.07</v>
      </c>
      <c r="BD57" s="21">
        <f t="shared" si="60"/>
        <v>108186812.31000003</v>
      </c>
      <c r="BE57" s="21">
        <f t="shared" si="60"/>
        <v>19466177.67</v>
      </c>
      <c r="BF57" s="21">
        <f t="shared" si="60"/>
        <v>127652989.98</v>
      </c>
      <c r="BG57" s="21">
        <f t="shared" si="60"/>
        <v>106050783.02000003</v>
      </c>
      <c r="BH57" s="21">
        <f t="shared" si="60"/>
        <v>23241044.31</v>
      </c>
      <c r="BI57" s="21">
        <f t="shared" si="60"/>
        <v>129291827.33000003</v>
      </c>
      <c r="BJ57" s="21">
        <f t="shared" si="60"/>
        <v>108684531.11000001</v>
      </c>
      <c r="BK57" s="21">
        <f t="shared" si="60"/>
        <v>29594317.759999994</v>
      </c>
      <c r="BL57" s="21">
        <f t="shared" si="60"/>
        <v>138278848.87</v>
      </c>
      <c r="BM57" s="21">
        <f t="shared" si="60"/>
        <v>111407464.97000001</v>
      </c>
      <c r="BN57" s="21">
        <f t="shared" si="60"/>
        <v>37372602.99</v>
      </c>
      <c r="BO57" s="21">
        <f t="shared" si="60"/>
        <v>148780067.96000004</v>
      </c>
      <c r="BP57" s="21">
        <f t="shared" si="60"/>
        <v>68297966.38000001</v>
      </c>
      <c r="BQ57" s="21">
        <f t="shared" si="60"/>
        <v>33050538.149999995</v>
      </c>
      <c r="BR57" s="21">
        <f t="shared" si="60"/>
        <v>101348504.53</v>
      </c>
      <c r="BS57" s="21">
        <v>168195213.9</v>
      </c>
      <c r="BT57" s="21">
        <v>44152700.89</v>
      </c>
      <c r="BU57" s="21">
        <v>212347914.79000002</v>
      </c>
      <c r="BV57" s="21">
        <v>209983750.61</v>
      </c>
      <c r="BW57" s="21">
        <v>61900406.46</v>
      </c>
      <c r="BX57" s="21">
        <v>271884157.07</v>
      </c>
      <c r="BY57" s="21">
        <f>SUM(BY58:BY60)</f>
        <v>304651089.75</v>
      </c>
      <c r="BZ57" s="21">
        <f>SUM(BZ58:BZ60)</f>
        <v>63946283.36</v>
      </c>
      <c r="CA57" s="21">
        <f t="shared" si="45"/>
        <v>368597373.11</v>
      </c>
      <c r="CB57" s="21">
        <f>SUM(CB58:CB60)</f>
        <v>134472208.54999998</v>
      </c>
      <c r="CC57" s="21">
        <f>SUM(CC58:CC60)</f>
        <v>67035406.31</v>
      </c>
      <c r="CD57" s="21">
        <f t="shared" si="39"/>
        <v>201507614.85999998</v>
      </c>
      <c r="CE57" s="21">
        <f>SUM(CE58:CE60)</f>
        <v>137750583.0791345</v>
      </c>
      <c r="CF57" s="21">
        <f>SUM(CF58:CF60)</f>
        <v>68813144.7</v>
      </c>
      <c r="CG57" s="21">
        <f t="shared" si="40"/>
        <v>206563727.7791345</v>
      </c>
      <c r="CH57" s="21">
        <f>SUM(CH58:CH60)</f>
        <v>142487303.5378415</v>
      </c>
      <c r="CI57" s="21">
        <f>SUM(CI58:CI60)</f>
        <v>74298063.49000001</v>
      </c>
      <c r="CJ57" s="21">
        <f t="shared" si="46"/>
        <v>216785367.0278415</v>
      </c>
      <c r="CK57" s="21">
        <f>SUM(CK58:CK60)</f>
        <v>139794916.5365928</v>
      </c>
      <c r="CL57" s="21">
        <f>SUM(CL58:CL60)</f>
        <v>82902644.51999998</v>
      </c>
      <c r="CM57" s="21">
        <f t="shared" si="42"/>
        <v>222697561.0565928</v>
      </c>
    </row>
    <row r="58" spans="1:91" ht="15">
      <c r="A58" s="8" t="s">
        <v>181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>
        <v>2500000</v>
      </c>
      <c r="AA58" s="3"/>
      <c r="AB58" s="3">
        <f>SUM(Z58:AA58)</f>
        <v>2500000</v>
      </c>
      <c r="AC58" s="3">
        <v>5242921.03</v>
      </c>
      <c r="AD58" s="3"/>
      <c r="AE58" s="3">
        <f>SUM(AC58:AD58)</f>
        <v>5242921.03</v>
      </c>
      <c r="AF58" s="3">
        <v>6251023.85</v>
      </c>
      <c r="AG58" s="3"/>
      <c r="AH58" s="3">
        <f>SUM(AF58:AG58)</f>
        <v>6251023.85</v>
      </c>
      <c r="AI58" s="3">
        <v>7351743.05</v>
      </c>
      <c r="AJ58" s="3"/>
      <c r="AK58" s="3">
        <f>SUM(AI58:AJ58)</f>
        <v>7351743.05</v>
      </c>
      <c r="AL58" s="3">
        <f>+'[1]INTRA'!$O$52</f>
        <v>8651168.09</v>
      </c>
      <c r="AM58" s="3">
        <v>0</v>
      </c>
      <c r="AN58" s="3">
        <f>SUM(AL58:AM58)</f>
        <v>8651168.09</v>
      </c>
      <c r="AO58" s="3">
        <f>+'[2]INTRA'!$O$52</f>
        <v>9807592.780000001</v>
      </c>
      <c r="AP58" s="11">
        <v>0</v>
      </c>
      <c r="AQ58" s="3">
        <f>SUM(AO58:AP58)</f>
        <v>9807592.780000001</v>
      </c>
      <c r="AR58" s="11">
        <f>+'[3]ANO_08'!N90</f>
        <v>9594158.29</v>
      </c>
      <c r="AS58" s="11">
        <f>+'[3]ANO_08'!O90</f>
        <v>0</v>
      </c>
      <c r="AT58" s="3">
        <f>SUM(AR58:AS58)</f>
        <v>9594158.29</v>
      </c>
      <c r="AU58" s="11">
        <f>+'[4]ANO_09'!N92</f>
        <v>10595489.36</v>
      </c>
      <c r="AV58" s="11">
        <f>+'[4]ANO_09'!O92</f>
        <v>0</v>
      </c>
      <c r="AW58" s="3">
        <f>SUM(AU58:AV58)</f>
        <v>10595489.36</v>
      </c>
      <c r="AX58" s="11">
        <v>11911319.13</v>
      </c>
      <c r="AY58" s="11">
        <v>0</v>
      </c>
      <c r="AZ58" s="3">
        <f>SUM(AX58:AY58)</f>
        <v>11911319.13</v>
      </c>
      <c r="BA58" s="11">
        <v>15627934.44</v>
      </c>
      <c r="BB58" s="11">
        <v>0</v>
      </c>
      <c r="BC58" s="3">
        <f>SUM(BA58:BB58)</f>
        <v>15627934.44</v>
      </c>
      <c r="BD58" s="85">
        <v>14391977.14</v>
      </c>
      <c r="BE58" s="85"/>
      <c r="BF58" s="85">
        <v>14391977.14</v>
      </c>
      <c r="BG58" s="85">
        <v>16443449.7</v>
      </c>
      <c r="BH58" s="85">
        <v>0</v>
      </c>
      <c r="BI58" s="85">
        <v>16443449.7</v>
      </c>
      <c r="BJ58" s="85">
        <v>16979587.72</v>
      </c>
      <c r="BK58" s="85">
        <v>0</v>
      </c>
      <c r="BL58" s="85">
        <f t="shared" si="37"/>
        <v>16979587.72</v>
      </c>
      <c r="BM58" s="85">
        <v>18519510.86</v>
      </c>
      <c r="BN58" s="85">
        <v>0</v>
      </c>
      <c r="BO58" s="85">
        <v>18519510.86</v>
      </c>
      <c r="BP58" s="85">
        <v>17094943.55</v>
      </c>
      <c r="BQ58" s="85">
        <v>0</v>
      </c>
      <c r="BR58" s="85">
        <v>17094943.55</v>
      </c>
      <c r="BS58" s="85">
        <v>20662452.700000003</v>
      </c>
      <c r="BT58" s="85">
        <v>0</v>
      </c>
      <c r="BU58" s="85">
        <v>20662452.700000003</v>
      </c>
      <c r="BV58" s="85">
        <v>20956503.169999998</v>
      </c>
      <c r="BW58" s="85">
        <v>0</v>
      </c>
      <c r="BX58" s="85">
        <v>20956503.169999998</v>
      </c>
      <c r="BY58" s="85">
        <v>20258190.490000002</v>
      </c>
      <c r="BZ58" s="85">
        <v>0</v>
      </c>
      <c r="CA58" s="85">
        <f t="shared" si="45"/>
        <v>20258190.490000002</v>
      </c>
      <c r="CB58" s="85">
        <v>20309656.11</v>
      </c>
      <c r="CC58" s="85">
        <v>0</v>
      </c>
      <c r="CD58" s="85">
        <f t="shared" si="39"/>
        <v>20309656.11</v>
      </c>
      <c r="CE58" s="85">
        <v>28792571.04</v>
      </c>
      <c r="CF58" s="85">
        <v>0</v>
      </c>
      <c r="CG58" s="85">
        <f t="shared" si="40"/>
        <v>28792571.04</v>
      </c>
      <c r="CH58" s="85">
        <v>27740652.529999997</v>
      </c>
      <c r="CI58" s="85">
        <v>0</v>
      </c>
      <c r="CJ58" s="85">
        <f t="shared" si="46"/>
        <v>27740652.529999997</v>
      </c>
      <c r="CK58" s="85">
        <v>28196252.529999994</v>
      </c>
      <c r="CL58" s="85">
        <v>0</v>
      </c>
      <c r="CM58" s="85">
        <f t="shared" si="42"/>
        <v>28196252.529999994</v>
      </c>
    </row>
    <row r="59" spans="1:91" ht="15">
      <c r="A59" s="8" t="s">
        <v>265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>
        <v>1167633.07</v>
      </c>
      <c r="AA59" s="3"/>
      <c r="AB59" s="3">
        <f>SUM(Z59:AA59)</f>
        <v>1167633.07</v>
      </c>
      <c r="AC59" s="3">
        <v>3857927.19</v>
      </c>
      <c r="AD59" s="3"/>
      <c r="AE59" s="3">
        <f>SUM(AC59:AD59)</f>
        <v>3857927.19</v>
      </c>
      <c r="AF59" s="3">
        <v>4178569.56</v>
      </c>
      <c r="AG59" s="3"/>
      <c r="AH59" s="3">
        <f>SUM(AF59:AG59)</f>
        <v>4178569.56</v>
      </c>
      <c r="AI59" s="3">
        <v>4993042.49</v>
      </c>
      <c r="AJ59" s="3"/>
      <c r="AK59" s="3">
        <f>SUM(AI59:AJ59)</f>
        <v>4993042.49</v>
      </c>
      <c r="AL59" s="3">
        <f>+'[1]INTRA'!$O$51</f>
        <v>5953615.800000001</v>
      </c>
      <c r="AM59" s="3">
        <v>0</v>
      </c>
      <c r="AN59" s="3">
        <f>SUM(AL59:AM59)</f>
        <v>5953615.800000001</v>
      </c>
      <c r="AO59" s="3">
        <f>+'[2]INTRA'!$O$51</f>
        <v>9897374.75</v>
      </c>
      <c r="AP59" s="11">
        <v>0</v>
      </c>
      <c r="AQ59" s="3">
        <f>SUM(AO59:AP59)</f>
        <v>9897374.75</v>
      </c>
      <c r="AR59" s="11">
        <f>+'[3]ANO_08'!N91</f>
        <v>14446088.319999998</v>
      </c>
      <c r="AS59" s="11">
        <f>+'[3]ANO_08'!O91</f>
        <v>0</v>
      </c>
      <c r="AT59" s="3">
        <f>SUM(AR59:AS59)</f>
        <v>14446088.319999998</v>
      </c>
      <c r="AU59" s="11">
        <f>+'[4]ANO_09'!N93</f>
        <v>14168053.5</v>
      </c>
      <c r="AV59" s="11">
        <f>+'[4]ANO_09'!O93</f>
        <v>0</v>
      </c>
      <c r="AW59" s="3">
        <f>SUM(AU59:AV59)</f>
        <v>14168053.5</v>
      </c>
      <c r="AX59" s="11">
        <v>15028452.870000003</v>
      </c>
      <c r="AY59" s="11">
        <v>0</v>
      </c>
      <c r="AZ59" s="3">
        <f>SUM(AX59:AY59)</f>
        <v>15028452.870000003</v>
      </c>
      <c r="BA59" s="11">
        <v>17839280.77</v>
      </c>
      <c r="BB59" s="11">
        <v>0</v>
      </c>
      <c r="BC59" s="3">
        <f>SUM(BA59:BB59)</f>
        <v>17839280.77</v>
      </c>
      <c r="BD59" s="85">
        <v>19263057.650000002</v>
      </c>
      <c r="BE59" s="85"/>
      <c r="BF59" s="85">
        <v>19263057.650000002</v>
      </c>
      <c r="BG59" s="85">
        <v>20543757.560000002</v>
      </c>
      <c r="BH59" s="85">
        <v>0</v>
      </c>
      <c r="BI59" s="85">
        <v>20543757.560000002</v>
      </c>
      <c r="BJ59" s="85">
        <v>22641367.630000003</v>
      </c>
      <c r="BK59" s="85">
        <v>0</v>
      </c>
      <c r="BL59" s="85">
        <f t="shared" si="37"/>
        <v>22641367.630000003</v>
      </c>
      <c r="BM59" s="85">
        <v>23824378.349999998</v>
      </c>
      <c r="BN59" s="85">
        <v>0</v>
      </c>
      <c r="BO59" s="85">
        <v>23824378.349999998</v>
      </c>
      <c r="BP59" s="85">
        <v>1948157.18</v>
      </c>
      <c r="BQ59" s="85">
        <v>0</v>
      </c>
      <c r="BR59" s="85">
        <v>1948157.18</v>
      </c>
      <c r="BS59" s="85">
        <v>55513653.7</v>
      </c>
      <c r="BT59" s="85">
        <v>44152700.89</v>
      </c>
      <c r="BU59" s="85">
        <v>99666354.59</v>
      </c>
      <c r="BV59" s="85">
        <v>71455706.5</v>
      </c>
      <c r="BW59" s="85">
        <v>61900406.46</v>
      </c>
      <c r="BX59" s="85">
        <v>133356112.96000001</v>
      </c>
      <c r="BY59" s="85">
        <v>134343884.59</v>
      </c>
      <c r="BZ59" s="85">
        <v>63946283.36</v>
      </c>
      <c r="CA59" s="85">
        <f t="shared" si="45"/>
        <v>198290167.95</v>
      </c>
      <c r="CB59" s="85">
        <v>68811943.47999999</v>
      </c>
      <c r="CC59" s="85">
        <v>67035406.31</v>
      </c>
      <c r="CD59" s="85">
        <f t="shared" si="39"/>
        <v>135847349.79</v>
      </c>
      <c r="CE59" s="85">
        <v>68790787.68</v>
      </c>
      <c r="CF59" s="85">
        <v>68813144.7</v>
      </c>
      <c r="CG59" s="85">
        <f t="shared" si="40"/>
        <v>137603932.38</v>
      </c>
      <c r="CH59" s="85">
        <v>68790787.68</v>
      </c>
      <c r="CI59" s="85">
        <v>74298063.49000001</v>
      </c>
      <c r="CJ59" s="85">
        <f t="shared" si="46"/>
        <v>143088851.17000002</v>
      </c>
      <c r="CK59" s="85">
        <v>68790787.68</v>
      </c>
      <c r="CL59" s="85">
        <v>82902644.51999998</v>
      </c>
      <c r="CM59" s="85">
        <f t="shared" si="42"/>
        <v>151693432.2</v>
      </c>
    </row>
    <row r="60" spans="1:91" ht="15">
      <c r="A60" s="8" t="s">
        <v>182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11"/>
      <c r="AQ60" s="3"/>
      <c r="AR60" s="11"/>
      <c r="AS60" s="11"/>
      <c r="AT60" s="3"/>
      <c r="AU60" s="11"/>
      <c r="AV60" s="11"/>
      <c r="AW60" s="3"/>
      <c r="AX60" s="11"/>
      <c r="AY60" s="11"/>
      <c r="AZ60" s="3"/>
      <c r="BA60" s="11">
        <v>15556196.86</v>
      </c>
      <c r="BB60" s="11">
        <v>0</v>
      </c>
      <c r="BC60" s="3">
        <f>SUM(BA60:BB60)</f>
        <v>15556196.86</v>
      </c>
      <c r="BD60" s="85">
        <v>74531777.52000003</v>
      </c>
      <c r="BE60" s="85">
        <v>19466177.67</v>
      </c>
      <c r="BF60" s="85">
        <v>93997955.19</v>
      </c>
      <c r="BG60" s="85">
        <v>69063575.76000002</v>
      </c>
      <c r="BH60" s="85">
        <v>23241044.31</v>
      </c>
      <c r="BI60" s="85">
        <v>92304620.07000002</v>
      </c>
      <c r="BJ60" s="85">
        <v>69063575.76000002</v>
      </c>
      <c r="BK60" s="85">
        <v>29594317.759999994</v>
      </c>
      <c r="BL60" s="85">
        <f t="shared" si="37"/>
        <v>98657893.52000001</v>
      </c>
      <c r="BM60" s="85">
        <v>69063575.76000002</v>
      </c>
      <c r="BN60" s="85">
        <v>37372602.99</v>
      </c>
      <c r="BO60" s="85">
        <v>106436178.75000003</v>
      </c>
      <c r="BP60" s="85">
        <v>49254865.650000006</v>
      </c>
      <c r="BQ60" s="85">
        <v>33050538.149999995</v>
      </c>
      <c r="BR60" s="85">
        <v>82305403.8</v>
      </c>
      <c r="BS60" s="85">
        <v>92019107.5</v>
      </c>
      <c r="BT60" s="85">
        <v>0</v>
      </c>
      <c r="BU60" s="85">
        <v>92019107.5</v>
      </c>
      <c r="BV60" s="85">
        <v>117571540.94</v>
      </c>
      <c r="BW60" s="85">
        <v>0</v>
      </c>
      <c r="BX60" s="85">
        <v>117571540.94</v>
      </c>
      <c r="BY60" s="85">
        <v>150049014.67000002</v>
      </c>
      <c r="BZ60" s="85">
        <v>0</v>
      </c>
      <c r="CA60" s="85">
        <f t="shared" si="45"/>
        <v>150049014.67000002</v>
      </c>
      <c r="CB60" s="85">
        <v>45350608.95999999</v>
      </c>
      <c r="CC60" s="85">
        <v>0</v>
      </c>
      <c r="CD60" s="85">
        <f t="shared" si="39"/>
        <v>45350608.95999999</v>
      </c>
      <c r="CE60" s="85">
        <v>40167224.35913449</v>
      </c>
      <c r="CF60" s="85">
        <v>0</v>
      </c>
      <c r="CG60" s="85">
        <f t="shared" si="40"/>
        <v>40167224.35913449</v>
      </c>
      <c r="CH60" s="85">
        <v>45955863.327841505</v>
      </c>
      <c r="CI60" s="85">
        <v>0</v>
      </c>
      <c r="CJ60" s="85">
        <f t="shared" si="46"/>
        <v>45955863.327841505</v>
      </c>
      <c r="CK60" s="85">
        <v>42807876.326592796</v>
      </c>
      <c r="CL60" s="85">
        <v>0</v>
      </c>
      <c r="CM60" s="85">
        <f t="shared" si="42"/>
        <v>42807876.326592796</v>
      </c>
    </row>
    <row r="61" spans="1:91" ht="15">
      <c r="A61" s="20" t="s">
        <v>253</v>
      </c>
      <c r="B61" s="21">
        <f aca="true" t="shared" si="61" ref="B61:AK63">+B62</f>
        <v>0</v>
      </c>
      <c r="C61" s="21">
        <f t="shared" si="61"/>
        <v>0</v>
      </c>
      <c r="D61" s="21">
        <f t="shared" si="61"/>
        <v>0</v>
      </c>
      <c r="E61" s="21">
        <f t="shared" si="61"/>
        <v>0</v>
      </c>
      <c r="F61" s="21">
        <f t="shared" si="61"/>
        <v>0</v>
      </c>
      <c r="G61" s="21">
        <f t="shared" si="61"/>
        <v>0</v>
      </c>
      <c r="H61" s="21">
        <f t="shared" si="61"/>
        <v>0</v>
      </c>
      <c r="I61" s="21">
        <f t="shared" si="61"/>
        <v>0</v>
      </c>
      <c r="J61" s="21">
        <f t="shared" si="61"/>
        <v>0</v>
      </c>
      <c r="K61" s="21">
        <f t="shared" si="61"/>
        <v>0</v>
      </c>
      <c r="L61" s="21">
        <f t="shared" si="61"/>
        <v>0</v>
      </c>
      <c r="M61" s="21">
        <f t="shared" si="61"/>
        <v>0</v>
      </c>
      <c r="N61" s="21">
        <f t="shared" si="61"/>
        <v>0</v>
      </c>
      <c r="O61" s="21">
        <f t="shared" si="61"/>
        <v>0</v>
      </c>
      <c r="P61" s="21">
        <f t="shared" si="61"/>
        <v>0</v>
      </c>
      <c r="Q61" s="21">
        <f t="shared" si="61"/>
        <v>0</v>
      </c>
      <c r="R61" s="21">
        <f t="shared" si="61"/>
        <v>0</v>
      </c>
      <c r="S61" s="21">
        <f t="shared" si="61"/>
        <v>0</v>
      </c>
      <c r="T61" s="21">
        <f t="shared" si="61"/>
        <v>0</v>
      </c>
      <c r="U61" s="21">
        <f t="shared" si="61"/>
        <v>0</v>
      </c>
      <c r="V61" s="21">
        <f t="shared" si="61"/>
        <v>0</v>
      </c>
      <c r="W61" s="21">
        <f t="shared" si="61"/>
        <v>0</v>
      </c>
      <c r="X61" s="21">
        <f t="shared" si="61"/>
        <v>0</v>
      </c>
      <c r="Y61" s="21">
        <f t="shared" si="61"/>
        <v>0</v>
      </c>
      <c r="Z61" s="21">
        <f t="shared" si="61"/>
        <v>0</v>
      </c>
      <c r="AA61" s="21">
        <f t="shared" si="61"/>
        <v>0</v>
      </c>
      <c r="AB61" s="21">
        <f t="shared" si="61"/>
        <v>0</v>
      </c>
      <c r="AC61" s="21">
        <f t="shared" si="61"/>
        <v>0</v>
      </c>
      <c r="AD61" s="21">
        <f t="shared" si="61"/>
        <v>0</v>
      </c>
      <c r="AE61" s="21">
        <f t="shared" si="61"/>
        <v>0</v>
      </c>
      <c r="AF61" s="21">
        <f t="shared" si="61"/>
        <v>0</v>
      </c>
      <c r="AG61" s="21">
        <f t="shared" si="61"/>
        <v>0</v>
      </c>
      <c r="AH61" s="21">
        <f t="shared" si="61"/>
        <v>0</v>
      </c>
      <c r="AI61" s="21">
        <f t="shared" si="61"/>
        <v>0</v>
      </c>
      <c r="AJ61" s="21">
        <f t="shared" si="61"/>
        <v>0</v>
      </c>
      <c r="AK61" s="21">
        <f t="shared" si="61"/>
        <v>0</v>
      </c>
      <c r="AL61" s="21">
        <f>+AL62</f>
        <v>0</v>
      </c>
      <c r="AM61" s="21">
        <f aca="true" t="shared" si="62" ref="AM61:BS63">+AM62</f>
        <v>0</v>
      </c>
      <c r="AN61" s="21">
        <f t="shared" si="62"/>
        <v>0</v>
      </c>
      <c r="AO61" s="21">
        <f t="shared" si="62"/>
        <v>0</v>
      </c>
      <c r="AP61" s="21">
        <f t="shared" si="62"/>
        <v>0</v>
      </c>
      <c r="AQ61" s="21">
        <f t="shared" si="62"/>
        <v>0</v>
      </c>
      <c r="AR61" s="21">
        <f t="shared" si="62"/>
        <v>0</v>
      </c>
      <c r="AS61" s="21">
        <f t="shared" si="62"/>
        <v>0</v>
      </c>
      <c r="AT61" s="21">
        <f t="shared" si="62"/>
        <v>0</v>
      </c>
      <c r="AU61" s="21">
        <f t="shared" si="62"/>
        <v>0</v>
      </c>
      <c r="AV61" s="21">
        <f t="shared" si="62"/>
        <v>0</v>
      </c>
      <c r="AW61" s="21">
        <f t="shared" si="62"/>
        <v>0</v>
      </c>
      <c r="AX61" s="21">
        <f t="shared" si="62"/>
        <v>0</v>
      </c>
      <c r="AY61" s="21">
        <f t="shared" si="62"/>
        <v>0</v>
      </c>
      <c r="AZ61" s="21">
        <f t="shared" si="62"/>
        <v>0</v>
      </c>
      <c r="BA61" s="21">
        <f t="shared" si="62"/>
        <v>0</v>
      </c>
      <c r="BB61" s="21">
        <f t="shared" si="62"/>
        <v>0</v>
      </c>
      <c r="BC61" s="21">
        <f t="shared" si="62"/>
        <v>0</v>
      </c>
      <c r="BD61" s="21">
        <f t="shared" si="62"/>
        <v>0</v>
      </c>
      <c r="BE61" s="21">
        <f t="shared" si="62"/>
        <v>0</v>
      </c>
      <c r="BF61" s="21">
        <f t="shared" si="62"/>
        <v>0</v>
      </c>
      <c r="BG61" s="21">
        <f t="shared" si="62"/>
        <v>0</v>
      </c>
      <c r="BH61" s="21">
        <f t="shared" si="62"/>
        <v>0</v>
      </c>
      <c r="BI61" s="21">
        <f t="shared" si="62"/>
        <v>0</v>
      </c>
      <c r="BJ61" s="21">
        <f t="shared" si="62"/>
        <v>0</v>
      </c>
      <c r="BK61" s="21">
        <f t="shared" si="62"/>
        <v>0</v>
      </c>
      <c r="BL61" s="21">
        <f t="shared" si="62"/>
        <v>0</v>
      </c>
      <c r="BM61" s="21">
        <f t="shared" si="62"/>
        <v>0</v>
      </c>
      <c r="BN61" s="21">
        <f t="shared" si="62"/>
        <v>0</v>
      </c>
      <c r="BO61" s="21">
        <f t="shared" si="62"/>
        <v>0</v>
      </c>
      <c r="BP61" s="21">
        <f t="shared" si="62"/>
        <v>0</v>
      </c>
      <c r="BQ61" s="21">
        <f t="shared" si="62"/>
        <v>0</v>
      </c>
      <c r="BR61" s="21">
        <f t="shared" si="62"/>
        <v>0</v>
      </c>
      <c r="BS61" s="21">
        <v>0</v>
      </c>
      <c r="BT61" s="21">
        <v>58000000</v>
      </c>
      <c r="BU61" s="21">
        <v>58000000</v>
      </c>
      <c r="BV61" s="21">
        <f>+BV62</f>
        <v>0</v>
      </c>
      <c r="BW61" s="21">
        <f>+BW62</f>
        <v>0</v>
      </c>
      <c r="BX61" s="21">
        <f>+BX62</f>
        <v>0</v>
      </c>
      <c r="BY61" s="21">
        <f>+BY62</f>
        <v>0</v>
      </c>
      <c r="BZ61" s="21">
        <f>+BZ62</f>
        <v>0</v>
      </c>
      <c r="CA61" s="21">
        <f t="shared" si="45"/>
        <v>0</v>
      </c>
      <c r="CB61" s="21">
        <f>+CB62</f>
        <v>0</v>
      </c>
      <c r="CC61" s="21">
        <f>+CC62</f>
        <v>0</v>
      </c>
      <c r="CD61" s="21">
        <f t="shared" si="39"/>
        <v>0</v>
      </c>
      <c r="CE61" s="21">
        <f>+CE62</f>
        <v>0</v>
      </c>
      <c r="CF61" s="21">
        <f>+CF62</f>
        <v>0</v>
      </c>
      <c r="CG61" s="21">
        <f t="shared" si="40"/>
        <v>0</v>
      </c>
      <c r="CH61" s="21">
        <f>+CH62</f>
        <v>0</v>
      </c>
      <c r="CI61" s="21">
        <f>+CI62</f>
        <v>0</v>
      </c>
      <c r="CJ61" s="21">
        <f t="shared" si="46"/>
        <v>0</v>
      </c>
      <c r="CK61" s="21">
        <f>+CK62</f>
        <v>0</v>
      </c>
      <c r="CL61" s="21">
        <f>+CL62</f>
        <v>0</v>
      </c>
      <c r="CM61" s="21">
        <f t="shared" si="42"/>
        <v>0</v>
      </c>
    </row>
    <row r="62" spans="1:91" ht="15">
      <c r="A62" s="13" t="s">
        <v>254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11"/>
      <c r="AQ62" s="3"/>
      <c r="AR62" s="11"/>
      <c r="AS62" s="11"/>
      <c r="AT62" s="3"/>
      <c r="AU62" s="11"/>
      <c r="AV62" s="11"/>
      <c r="AW62" s="3"/>
      <c r="AX62" s="11"/>
      <c r="AY62" s="11"/>
      <c r="AZ62" s="3"/>
      <c r="BA62" s="11"/>
      <c r="BB62" s="11"/>
      <c r="BC62" s="3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>
        <v>0</v>
      </c>
      <c r="BT62" s="85">
        <v>58000000</v>
      </c>
      <c r="BU62" s="85">
        <v>58000000</v>
      </c>
      <c r="BV62" s="85">
        <v>0</v>
      </c>
      <c r="BW62" s="85">
        <v>0</v>
      </c>
      <c r="BX62" s="85">
        <f>+BV62+BW62</f>
        <v>0</v>
      </c>
      <c r="BY62" s="85">
        <v>0</v>
      </c>
      <c r="BZ62" s="85">
        <v>0</v>
      </c>
      <c r="CA62" s="85">
        <f t="shared" si="45"/>
        <v>0</v>
      </c>
      <c r="CB62" s="85">
        <v>0</v>
      </c>
      <c r="CC62" s="85">
        <v>0</v>
      </c>
      <c r="CD62" s="85">
        <f t="shared" si="39"/>
        <v>0</v>
      </c>
      <c r="CE62" s="85">
        <v>0</v>
      </c>
      <c r="CF62" s="85">
        <v>0</v>
      </c>
      <c r="CG62" s="85">
        <f t="shared" si="40"/>
        <v>0</v>
      </c>
      <c r="CH62" s="85">
        <v>0</v>
      </c>
      <c r="CI62" s="85">
        <v>0</v>
      </c>
      <c r="CJ62" s="85">
        <f t="shared" si="46"/>
        <v>0</v>
      </c>
      <c r="CK62" s="85">
        <v>0</v>
      </c>
      <c r="CL62" s="85">
        <v>0</v>
      </c>
      <c r="CM62" s="85">
        <f t="shared" si="42"/>
        <v>0</v>
      </c>
    </row>
    <row r="63" spans="1:91" ht="15">
      <c r="A63" s="20" t="s">
        <v>140</v>
      </c>
      <c r="B63" s="21">
        <f t="shared" si="61"/>
        <v>0</v>
      </c>
      <c r="C63" s="21">
        <f t="shared" si="61"/>
        <v>0</v>
      </c>
      <c r="D63" s="21">
        <f t="shared" si="61"/>
        <v>0</v>
      </c>
      <c r="E63" s="21">
        <f t="shared" si="61"/>
        <v>0</v>
      </c>
      <c r="F63" s="21">
        <f t="shared" si="61"/>
        <v>0</v>
      </c>
      <c r="G63" s="21">
        <f t="shared" si="61"/>
        <v>0</v>
      </c>
      <c r="H63" s="21">
        <f t="shared" si="61"/>
        <v>0</v>
      </c>
      <c r="I63" s="21">
        <f t="shared" si="61"/>
        <v>0</v>
      </c>
      <c r="J63" s="21">
        <f t="shared" si="61"/>
        <v>0</v>
      </c>
      <c r="K63" s="21">
        <f t="shared" si="61"/>
        <v>0</v>
      </c>
      <c r="L63" s="21">
        <f t="shared" si="61"/>
        <v>0</v>
      </c>
      <c r="M63" s="21">
        <f t="shared" si="61"/>
        <v>0</v>
      </c>
      <c r="N63" s="21">
        <f t="shared" si="61"/>
        <v>0</v>
      </c>
      <c r="O63" s="21">
        <f t="shared" si="61"/>
        <v>0</v>
      </c>
      <c r="P63" s="21">
        <f t="shared" si="61"/>
        <v>0</v>
      </c>
      <c r="Q63" s="21">
        <f t="shared" si="61"/>
        <v>0</v>
      </c>
      <c r="R63" s="21">
        <f t="shared" si="61"/>
        <v>0</v>
      </c>
      <c r="S63" s="21">
        <f t="shared" si="61"/>
        <v>0</v>
      </c>
      <c r="T63" s="21">
        <f t="shared" si="61"/>
        <v>0</v>
      </c>
      <c r="U63" s="21">
        <f t="shared" si="61"/>
        <v>0</v>
      </c>
      <c r="V63" s="21">
        <f t="shared" si="61"/>
        <v>0</v>
      </c>
      <c r="W63" s="21">
        <f t="shared" si="61"/>
        <v>0</v>
      </c>
      <c r="X63" s="21">
        <f t="shared" si="61"/>
        <v>0</v>
      </c>
      <c r="Y63" s="21">
        <f t="shared" si="61"/>
        <v>0</v>
      </c>
      <c r="Z63" s="21">
        <f t="shared" si="61"/>
        <v>0</v>
      </c>
      <c r="AA63" s="21">
        <f t="shared" si="61"/>
        <v>0</v>
      </c>
      <c r="AB63" s="21">
        <f t="shared" si="61"/>
        <v>0</v>
      </c>
      <c r="AC63" s="21">
        <f t="shared" si="61"/>
        <v>0</v>
      </c>
      <c r="AD63" s="21">
        <f t="shared" si="61"/>
        <v>0</v>
      </c>
      <c r="AE63" s="21">
        <f t="shared" si="61"/>
        <v>0</v>
      </c>
      <c r="AF63" s="21">
        <f t="shared" si="61"/>
        <v>0</v>
      </c>
      <c r="AG63" s="21">
        <f t="shared" si="61"/>
        <v>0</v>
      </c>
      <c r="AH63" s="21">
        <f t="shared" si="61"/>
        <v>0</v>
      </c>
      <c r="AI63" s="21">
        <f t="shared" si="61"/>
        <v>0</v>
      </c>
      <c r="AJ63" s="21">
        <f t="shared" si="61"/>
        <v>0</v>
      </c>
      <c r="AK63" s="21">
        <f t="shared" si="61"/>
        <v>0</v>
      </c>
      <c r="AL63" s="21">
        <f>+AL64</f>
        <v>0</v>
      </c>
      <c r="AM63" s="21">
        <f t="shared" si="62"/>
        <v>0</v>
      </c>
      <c r="AN63" s="21">
        <f t="shared" si="62"/>
        <v>0</v>
      </c>
      <c r="AO63" s="21">
        <f t="shared" si="62"/>
        <v>0</v>
      </c>
      <c r="AP63" s="21">
        <f t="shared" si="62"/>
        <v>0</v>
      </c>
      <c r="AQ63" s="21">
        <f t="shared" si="62"/>
        <v>0</v>
      </c>
      <c r="AR63" s="21">
        <f t="shared" si="62"/>
        <v>0</v>
      </c>
      <c r="AS63" s="21">
        <f t="shared" si="62"/>
        <v>0</v>
      </c>
      <c r="AT63" s="21">
        <f t="shared" si="62"/>
        <v>0</v>
      </c>
      <c r="AU63" s="21">
        <f t="shared" si="62"/>
        <v>0</v>
      </c>
      <c r="AV63" s="21">
        <f t="shared" si="62"/>
        <v>0</v>
      </c>
      <c r="AW63" s="21">
        <f t="shared" si="62"/>
        <v>0</v>
      </c>
      <c r="AX63" s="21">
        <f t="shared" si="62"/>
        <v>0</v>
      </c>
      <c r="AY63" s="21">
        <f t="shared" si="62"/>
        <v>0</v>
      </c>
      <c r="AZ63" s="21">
        <f t="shared" si="62"/>
        <v>0</v>
      </c>
      <c r="BA63" s="21">
        <f t="shared" si="62"/>
        <v>0</v>
      </c>
      <c r="BB63" s="21">
        <f t="shared" si="62"/>
        <v>0</v>
      </c>
      <c r="BC63" s="21">
        <f t="shared" si="62"/>
        <v>0</v>
      </c>
      <c r="BD63" s="21">
        <f t="shared" si="62"/>
        <v>65398473.54000001</v>
      </c>
      <c r="BE63" s="21">
        <f t="shared" si="62"/>
        <v>0</v>
      </c>
      <c r="BF63" s="21">
        <f t="shared" si="62"/>
        <v>65398473.54000001</v>
      </c>
      <c r="BG63" s="21">
        <f t="shared" si="62"/>
        <v>102576006.10000002</v>
      </c>
      <c r="BH63" s="21">
        <f t="shared" si="62"/>
        <v>0</v>
      </c>
      <c r="BI63" s="21">
        <f t="shared" si="62"/>
        <v>102576006.10000002</v>
      </c>
      <c r="BJ63" s="21">
        <f t="shared" si="62"/>
        <v>147033066.00000003</v>
      </c>
      <c r="BK63" s="21">
        <f t="shared" si="62"/>
        <v>0</v>
      </c>
      <c r="BL63" s="21">
        <f t="shared" si="62"/>
        <v>147033066.00000003</v>
      </c>
      <c r="BM63" s="21">
        <f t="shared" si="62"/>
        <v>83050739.28</v>
      </c>
      <c r="BN63" s="21">
        <f t="shared" si="62"/>
        <v>0</v>
      </c>
      <c r="BO63" s="21">
        <f t="shared" si="62"/>
        <v>83050739.28</v>
      </c>
      <c r="BP63" s="21">
        <f t="shared" si="62"/>
        <v>0</v>
      </c>
      <c r="BQ63" s="21">
        <f t="shared" si="62"/>
        <v>0</v>
      </c>
      <c r="BR63" s="21">
        <f t="shared" si="62"/>
        <v>0</v>
      </c>
      <c r="BS63" s="21">
        <f t="shared" si="62"/>
        <v>0</v>
      </c>
      <c r="BT63" s="21">
        <f>+BT64</f>
        <v>0</v>
      </c>
      <c r="BU63" s="21">
        <f>+BU64</f>
        <v>0</v>
      </c>
      <c r="BV63" s="21">
        <v>103893844.73</v>
      </c>
      <c r="BW63" s="21">
        <f>+BW64</f>
        <v>0</v>
      </c>
      <c r="BX63" s="21">
        <f>+BV63+BW63</f>
        <v>103893844.73</v>
      </c>
      <c r="BY63" s="21">
        <f>+BY64</f>
        <v>109946033.76</v>
      </c>
      <c r="BZ63" s="21">
        <f>+BZ64</f>
        <v>0</v>
      </c>
      <c r="CA63" s="21">
        <f t="shared" si="45"/>
        <v>109946033.76</v>
      </c>
      <c r="CB63" s="21">
        <f>+CB64</f>
        <v>114988435.63999999</v>
      </c>
      <c r="CC63" s="21">
        <f>+CC64</f>
        <v>0</v>
      </c>
      <c r="CD63" s="21">
        <f t="shared" si="39"/>
        <v>114988435.63999999</v>
      </c>
      <c r="CE63" s="21">
        <f>+CE64</f>
        <v>118039383.42999999</v>
      </c>
      <c r="CF63" s="21">
        <f>+CF64</f>
        <v>0</v>
      </c>
      <c r="CG63" s="21">
        <f t="shared" si="40"/>
        <v>118039383.42999999</v>
      </c>
      <c r="CH63" s="21">
        <f>+CH64</f>
        <v>126420109.91000001</v>
      </c>
      <c r="CI63" s="21">
        <f>+CI64</f>
        <v>0</v>
      </c>
      <c r="CJ63" s="21">
        <f t="shared" si="46"/>
        <v>126420109.91000001</v>
      </c>
      <c r="CK63" s="21">
        <f>+CK64</f>
        <v>0</v>
      </c>
      <c r="CL63" s="21">
        <f>+CL64</f>
        <v>0</v>
      </c>
      <c r="CM63" s="21">
        <f aca="true" t="shared" si="63" ref="CM63:CM73">+CK63+CL63</f>
        <v>0</v>
      </c>
    </row>
    <row r="64" spans="1:91" ht="15" customHeight="1">
      <c r="A64" s="13" t="s">
        <v>266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11"/>
      <c r="AQ64" s="3"/>
      <c r="AR64" s="11"/>
      <c r="AS64" s="11"/>
      <c r="AT64" s="3"/>
      <c r="AU64" s="11"/>
      <c r="AV64" s="11"/>
      <c r="AW64" s="3"/>
      <c r="AX64" s="11"/>
      <c r="AY64" s="11"/>
      <c r="AZ64" s="3"/>
      <c r="BA64" s="11"/>
      <c r="BB64" s="11"/>
      <c r="BC64" s="3"/>
      <c r="BD64" s="85">
        <v>65398473.54000001</v>
      </c>
      <c r="BE64" s="85"/>
      <c r="BF64" s="85">
        <f>+BD64+BE64</f>
        <v>65398473.54000001</v>
      </c>
      <c r="BG64" s="85">
        <v>102576006.10000002</v>
      </c>
      <c r="BH64" s="85">
        <v>0</v>
      </c>
      <c r="BI64" s="85">
        <v>102576006.10000002</v>
      </c>
      <c r="BJ64" s="85">
        <v>147033066.00000003</v>
      </c>
      <c r="BK64" s="85">
        <v>0</v>
      </c>
      <c r="BL64" s="85">
        <f t="shared" si="37"/>
        <v>147033066.00000003</v>
      </c>
      <c r="BM64" s="85">
        <v>83050739.28</v>
      </c>
      <c r="BN64" s="85">
        <v>0</v>
      </c>
      <c r="BO64" s="85">
        <v>83050739.28</v>
      </c>
      <c r="BP64" s="85"/>
      <c r="BQ64" s="85"/>
      <c r="BR64" s="85"/>
      <c r="BS64" s="85"/>
      <c r="BT64" s="85"/>
      <c r="BU64" s="85"/>
      <c r="BV64" s="85">
        <v>103893844.73</v>
      </c>
      <c r="BW64" s="85">
        <v>0</v>
      </c>
      <c r="BX64" s="85">
        <f>+BV64+BW64</f>
        <v>103893844.73</v>
      </c>
      <c r="BY64" s="85">
        <v>109946033.76</v>
      </c>
      <c r="BZ64" s="85">
        <v>0</v>
      </c>
      <c r="CA64" s="85">
        <f t="shared" si="45"/>
        <v>109946033.76</v>
      </c>
      <c r="CB64" s="85">
        <v>114988435.63999999</v>
      </c>
      <c r="CC64" s="85">
        <v>0</v>
      </c>
      <c r="CD64" s="85">
        <f t="shared" si="39"/>
        <v>114988435.63999999</v>
      </c>
      <c r="CE64" s="85">
        <v>118039383.42999999</v>
      </c>
      <c r="CF64" s="85">
        <v>0</v>
      </c>
      <c r="CG64" s="85">
        <f t="shared" si="40"/>
        <v>118039383.42999999</v>
      </c>
      <c r="CH64" s="85">
        <v>126420109.91000001</v>
      </c>
      <c r="CI64" s="85"/>
      <c r="CJ64" s="85">
        <f t="shared" si="46"/>
        <v>126420109.91000001</v>
      </c>
      <c r="CK64" s="85">
        <v>0</v>
      </c>
      <c r="CL64" s="85">
        <v>0</v>
      </c>
      <c r="CM64" s="85">
        <f t="shared" si="63"/>
        <v>0</v>
      </c>
    </row>
    <row r="65" spans="1:91" s="5" customFormat="1" ht="15">
      <c r="A65" s="104" t="s">
        <v>6</v>
      </c>
      <c r="B65" s="105">
        <f>+B66+B74+B76+B87+B92</f>
        <v>0</v>
      </c>
      <c r="C65" s="105">
        <f>+C66+C74+C76+C87+C92</f>
        <v>677243.83</v>
      </c>
      <c r="D65" s="105">
        <f>+B65+C65</f>
        <v>677243.83</v>
      </c>
      <c r="E65" s="105">
        <f>+E66+E74+E76+E87+E92</f>
        <v>0</v>
      </c>
      <c r="F65" s="105">
        <f>+F66+F74+F76+F87+F92</f>
        <v>1643419.24</v>
      </c>
      <c r="G65" s="105">
        <f>+E65+F65</f>
        <v>1643419.24</v>
      </c>
      <c r="H65" s="105">
        <f>+H66+H74+H76+H87+H92</f>
        <v>0</v>
      </c>
      <c r="I65" s="105">
        <f>+I66+I74+I76+I87+I92</f>
        <v>3373906.2</v>
      </c>
      <c r="J65" s="105">
        <f>+H65+I65</f>
        <v>3373906.2</v>
      </c>
      <c r="K65" s="105">
        <f>+K66+K74+K76+K87+K92</f>
        <v>0</v>
      </c>
      <c r="L65" s="105">
        <f>+L66+L74+L76+L87+L92</f>
        <v>7726239.01</v>
      </c>
      <c r="M65" s="105">
        <f>+K65+L65</f>
        <v>7726239.01</v>
      </c>
      <c r="N65" s="105">
        <f>+N66+N74+N76+N87+N92</f>
        <v>0</v>
      </c>
      <c r="O65" s="105">
        <f>+O66+O74+O76+O87+O92</f>
        <v>20926767.41</v>
      </c>
      <c r="P65" s="105">
        <f>+N65+O65</f>
        <v>20926767.41</v>
      </c>
      <c r="Q65" s="105">
        <f>+Q66+Q74+Q76+Q87+Q92</f>
        <v>0</v>
      </c>
      <c r="R65" s="105">
        <f>+R66+R74+R76+R87+R92</f>
        <v>67878817.66</v>
      </c>
      <c r="S65" s="105">
        <f>+Q65+R65</f>
        <v>67878817.66</v>
      </c>
      <c r="T65" s="105">
        <f>+T66+T74+T76+T87+T92</f>
        <v>0</v>
      </c>
      <c r="U65" s="105">
        <f>+U66+U74+U76+U87+U92</f>
        <v>70113218.92</v>
      </c>
      <c r="V65" s="105">
        <f>+T65+U65</f>
        <v>70113218.92</v>
      </c>
      <c r="W65" s="105">
        <f>+W66+W74+W76+W87+W92</f>
        <v>19465269.23</v>
      </c>
      <c r="X65" s="105">
        <f>+X66+X74+X76+X87+X92</f>
        <v>95830554.72</v>
      </c>
      <c r="Y65" s="105">
        <f>+W65+X65</f>
        <v>115295823.95</v>
      </c>
      <c r="Z65" s="105">
        <f>+Z66+Z74+Z76+Z87+Z92</f>
        <v>107290753.95</v>
      </c>
      <c r="AA65" s="105">
        <f>+AA66+AA74+AA76+AA87+AA92</f>
        <v>121867917.16</v>
      </c>
      <c r="AB65" s="105">
        <f>+Z65+AA65</f>
        <v>229158671.11</v>
      </c>
      <c r="AC65" s="105">
        <f>+AC66+AC74+AC76+AC87+AC92</f>
        <v>112463674.69</v>
      </c>
      <c r="AD65" s="105">
        <f>+AD66+AD74+AD76+AD87+AD92</f>
        <v>129511702.01999998</v>
      </c>
      <c r="AE65" s="105">
        <f>+AC65+AD65</f>
        <v>241975376.70999998</v>
      </c>
      <c r="AF65" s="105">
        <f>+AF66+AF74+AF76+AF87+AF92</f>
        <v>194932488.9</v>
      </c>
      <c r="AG65" s="105">
        <f>+AG66+AG74+AG76+AG87+AG92</f>
        <v>116495675.08</v>
      </c>
      <c r="AH65" s="105">
        <f>+AF65+AG65</f>
        <v>311428163.98</v>
      </c>
      <c r="AI65" s="105">
        <f>+AI66+AI74+AI76+AI87+AI92</f>
        <v>177143732.15</v>
      </c>
      <c r="AJ65" s="105">
        <f>+AJ66+AJ74+AJ76+AJ87+AJ92</f>
        <v>96891233.722</v>
      </c>
      <c r="AK65" s="105">
        <f>+AI65+AJ65</f>
        <v>274034965.872</v>
      </c>
      <c r="AL65" s="105">
        <f>+AL66+AL74+AL76+AL87+AL92</f>
        <v>156370225.57</v>
      </c>
      <c r="AM65" s="105">
        <f>+AM66+AM74+AM76+AM87+AM92</f>
        <v>83128844.94</v>
      </c>
      <c r="AN65" s="105">
        <f>+AL65+AM65</f>
        <v>239499070.51</v>
      </c>
      <c r="AO65" s="105">
        <f aca="true" t="shared" si="64" ref="AO65:BL65">+AO66+AO74+AO76+AO87+AO92</f>
        <v>154384588.83</v>
      </c>
      <c r="AP65" s="105">
        <f t="shared" si="64"/>
        <v>81814425.17999999</v>
      </c>
      <c r="AQ65" s="105">
        <f t="shared" si="64"/>
        <v>236199014.01</v>
      </c>
      <c r="AR65" s="105">
        <f t="shared" si="64"/>
        <v>157795634.64999998</v>
      </c>
      <c r="AS65" s="105">
        <f t="shared" si="64"/>
        <v>74488217.43</v>
      </c>
      <c r="AT65" s="105">
        <f t="shared" si="64"/>
        <v>232283852.07999998</v>
      </c>
      <c r="AU65" s="105">
        <f t="shared" si="64"/>
        <v>183551527.73000002</v>
      </c>
      <c r="AV65" s="105">
        <f t="shared" si="64"/>
        <v>79394803.21000001</v>
      </c>
      <c r="AW65" s="105">
        <f t="shared" si="64"/>
        <v>262946330.94000006</v>
      </c>
      <c r="AX65" s="105">
        <f t="shared" si="64"/>
        <v>174326844.68</v>
      </c>
      <c r="AY65" s="105">
        <f t="shared" si="64"/>
        <v>62838293.529999994</v>
      </c>
      <c r="AZ65" s="105">
        <f t="shared" si="64"/>
        <v>237165138.21</v>
      </c>
      <c r="BA65" s="105">
        <f t="shared" si="64"/>
        <v>139374405.95</v>
      </c>
      <c r="BB65" s="105">
        <f t="shared" si="64"/>
        <v>58828170.21000001</v>
      </c>
      <c r="BC65" s="105">
        <f t="shared" si="64"/>
        <v>198202576.16000003</v>
      </c>
      <c r="BD65" s="105">
        <f t="shared" si="64"/>
        <v>154977583.26</v>
      </c>
      <c r="BE65" s="105">
        <f t="shared" si="64"/>
        <v>91935405.96</v>
      </c>
      <c r="BF65" s="105">
        <f t="shared" si="64"/>
        <v>246912989.22</v>
      </c>
      <c r="BG65" s="105">
        <f t="shared" si="64"/>
        <v>240248870.68</v>
      </c>
      <c r="BH65" s="105">
        <f t="shared" si="64"/>
        <v>119824528.77</v>
      </c>
      <c r="BI65" s="105">
        <f t="shared" si="64"/>
        <v>360073399.45</v>
      </c>
      <c r="BJ65" s="105">
        <f t="shared" si="64"/>
        <v>135642840.49</v>
      </c>
      <c r="BK65" s="105">
        <f t="shared" si="64"/>
        <v>134364803.33999997</v>
      </c>
      <c r="BL65" s="105">
        <f t="shared" si="64"/>
        <v>270007643.83000004</v>
      </c>
      <c r="BM65" s="105">
        <f aca="true" t="shared" si="65" ref="BM65:BR65">+BM66+BM74+BM76+BM87+BM92</f>
        <v>252974124.13</v>
      </c>
      <c r="BN65" s="105">
        <f t="shared" si="65"/>
        <v>209330411.01</v>
      </c>
      <c r="BO65" s="105">
        <f t="shared" si="65"/>
        <v>462304535.1400001</v>
      </c>
      <c r="BP65" s="105">
        <f t="shared" si="65"/>
        <v>475389773.84</v>
      </c>
      <c r="BQ65" s="105">
        <f t="shared" si="65"/>
        <v>262300764.9519</v>
      </c>
      <c r="BR65" s="105">
        <f t="shared" si="65"/>
        <v>737690538.7919</v>
      </c>
      <c r="BS65" s="105">
        <v>148917043</v>
      </c>
      <c r="BT65" s="105">
        <v>75438608.5015</v>
      </c>
      <c r="BU65" s="105">
        <v>224355651.5015</v>
      </c>
      <c r="BV65" s="105">
        <v>0</v>
      </c>
      <c r="BW65" s="105">
        <v>0</v>
      </c>
      <c r="BX65" s="105">
        <v>0</v>
      </c>
      <c r="BY65" s="105">
        <f>+BY66+BY74+BY76+BY87+BY92</f>
        <v>0</v>
      </c>
      <c r="BZ65" s="105">
        <f>+BZ66+BZ74+BZ76+BZ87+BZ92</f>
        <v>0</v>
      </c>
      <c r="CA65" s="105">
        <f t="shared" si="45"/>
        <v>0</v>
      </c>
      <c r="CB65" s="105">
        <f>+CB66+CB74+CB76+CB87+CB92</f>
        <v>505858.88</v>
      </c>
      <c r="CC65" s="105">
        <f>+CC66+CC74+CC76+CC87+CC92</f>
        <v>82192.34000000001</v>
      </c>
      <c r="CD65" s="105">
        <f t="shared" si="39"/>
        <v>588051.22</v>
      </c>
      <c r="CE65" s="105">
        <f>+CE66+CE74+CE76+CE87+CE92</f>
        <v>0</v>
      </c>
      <c r="CF65" s="105">
        <f>+CF66+CF74+CF76+CF87+CF92</f>
        <v>0</v>
      </c>
      <c r="CG65" s="105">
        <f t="shared" si="40"/>
        <v>0</v>
      </c>
      <c r="CH65" s="105">
        <f>+CH66+CH74+CH76+CH87+CH92</f>
        <v>0</v>
      </c>
      <c r="CI65" s="105">
        <f>+CI66+CI74+CI76+CI87+CI92</f>
        <v>0</v>
      </c>
      <c r="CJ65" s="105">
        <f t="shared" si="46"/>
        <v>0</v>
      </c>
      <c r="CK65" s="105">
        <f>+CK66+CK74+CK76+CK87+CK92</f>
        <v>0</v>
      </c>
      <c r="CL65" s="105">
        <f>+CL66+CL74+CL76+CL87+CL92</f>
        <v>0</v>
      </c>
      <c r="CM65" s="105">
        <f t="shared" si="63"/>
        <v>0</v>
      </c>
    </row>
    <row r="66" spans="1:91" s="5" customFormat="1" ht="15">
      <c r="A66" s="20" t="s">
        <v>141</v>
      </c>
      <c r="B66" s="21">
        <f aca="true" t="shared" si="66" ref="B66:AK66">+SUM(B67:B73)</f>
        <v>0</v>
      </c>
      <c r="C66" s="21">
        <f t="shared" si="66"/>
        <v>677243.83</v>
      </c>
      <c r="D66" s="21">
        <f t="shared" si="66"/>
        <v>677243.83</v>
      </c>
      <c r="E66" s="21">
        <f t="shared" si="66"/>
        <v>0</v>
      </c>
      <c r="F66" s="21">
        <f t="shared" si="66"/>
        <v>1643419.24</v>
      </c>
      <c r="G66" s="21">
        <f t="shared" si="66"/>
        <v>1643419.24</v>
      </c>
      <c r="H66" s="21">
        <f t="shared" si="66"/>
        <v>0</v>
      </c>
      <c r="I66" s="21">
        <f t="shared" si="66"/>
        <v>3370230.87</v>
      </c>
      <c r="J66" s="21">
        <f t="shared" si="66"/>
        <v>3370230.87</v>
      </c>
      <c r="K66" s="21">
        <f t="shared" si="66"/>
        <v>0</v>
      </c>
      <c r="L66" s="21">
        <f t="shared" si="66"/>
        <v>7615759.71</v>
      </c>
      <c r="M66" s="21">
        <f t="shared" si="66"/>
        <v>7615759.71</v>
      </c>
      <c r="N66" s="21">
        <f t="shared" si="66"/>
        <v>0</v>
      </c>
      <c r="O66" s="21">
        <f t="shared" si="66"/>
        <v>14771811.91</v>
      </c>
      <c r="P66" s="21">
        <f t="shared" si="66"/>
        <v>14771811.91</v>
      </c>
      <c r="Q66" s="21">
        <f t="shared" si="66"/>
        <v>0</v>
      </c>
      <c r="R66" s="21">
        <f t="shared" si="66"/>
        <v>36106309.91</v>
      </c>
      <c r="S66" s="21">
        <f t="shared" si="66"/>
        <v>36106309.91</v>
      </c>
      <c r="T66" s="21">
        <f t="shared" si="66"/>
        <v>0</v>
      </c>
      <c r="U66" s="21">
        <f t="shared" si="66"/>
        <v>34428407.89</v>
      </c>
      <c r="V66" s="21">
        <f t="shared" si="66"/>
        <v>34428407.89</v>
      </c>
      <c r="W66" s="21">
        <f t="shared" si="66"/>
        <v>0</v>
      </c>
      <c r="X66" s="21">
        <f t="shared" si="66"/>
        <v>46692103.53</v>
      </c>
      <c r="Y66" s="21">
        <f t="shared" si="66"/>
        <v>46692103.53</v>
      </c>
      <c r="Z66" s="21">
        <f t="shared" si="66"/>
        <v>0</v>
      </c>
      <c r="AA66" s="21">
        <f t="shared" si="66"/>
        <v>56168305.81999999</v>
      </c>
      <c r="AB66" s="21">
        <f t="shared" si="66"/>
        <v>56168305.81999999</v>
      </c>
      <c r="AC66" s="21">
        <f t="shared" si="66"/>
        <v>0</v>
      </c>
      <c r="AD66" s="21">
        <f t="shared" si="66"/>
        <v>69402636.07</v>
      </c>
      <c r="AE66" s="21">
        <f t="shared" si="66"/>
        <v>69402636.07</v>
      </c>
      <c r="AF66" s="21">
        <f t="shared" si="66"/>
        <v>79365941.76</v>
      </c>
      <c r="AG66" s="21">
        <f t="shared" si="66"/>
        <v>57578207.53</v>
      </c>
      <c r="AH66" s="21">
        <f t="shared" si="66"/>
        <v>136944149.29000002</v>
      </c>
      <c r="AI66" s="21">
        <f t="shared" si="66"/>
        <v>72461722.08</v>
      </c>
      <c r="AJ66" s="21">
        <f t="shared" si="66"/>
        <v>50118769.78</v>
      </c>
      <c r="AK66" s="21">
        <f t="shared" si="66"/>
        <v>122580491.86</v>
      </c>
      <c r="AL66" s="21">
        <f>+SUM(AL67:AL73)</f>
        <v>65002331.629999995</v>
      </c>
      <c r="AM66" s="21">
        <f aca="true" t="shared" si="67" ref="AM66:BL66">+SUM(AM67:AM73)</f>
        <v>40849277.14</v>
      </c>
      <c r="AN66" s="21">
        <f t="shared" si="67"/>
        <v>105851608.77</v>
      </c>
      <c r="AO66" s="21">
        <f t="shared" si="67"/>
        <v>65098652.89</v>
      </c>
      <c r="AP66" s="21">
        <f t="shared" si="67"/>
        <v>39705763.94</v>
      </c>
      <c r="AQ66" s="21">
        <f t="shared" si="67"/>
        <v>104804416.83</v>
      </c>
      <c r="AR66" s="21">
        <f t="shared" si="67"/>
        <v>59945935.410000004</v>
      </c>
      <c r="AS66" s="21">
        <f t="shared" si="67"/>
        <v>34458820.099999994</v>
      </c>
      <c r="AT66" s="21">
        <f t="shared" si="67"/>
        <v>94404755.50999999</v>
      </c>
      <c r="AU66" s="21">
        <f t="shared" si="67"/>
        <v>70825480.14000002</v>
      </c>
      <c r="AV66" s="21">
        <f t="shared" si="67"/>
        <v>37802048.25</v>
      </c>
      <c r="AW66" s="21">
        <f t="shared" si="67"/>
        <v>108627528.39000002</v>
      </c>
      <c r="AX66" s="21">
        <f t="shared" si="67"/>
        <v>62603414.300000004</v>
      </c>
      <c r="AY66" s="21">
        <f t="shared" si="67"/>
        <v>26834001.74</v>
      </c>
      <c r="AZ66" s="21">
        <f t="shared" si="67"/>
        <v>89437416.03999999</v>
      </c>
      <c r="BA66" s="21">
        <f t="shared" si="67"/>
        <v>57365086.269999996</v>
      </c>
      <c r="BB66" s="21">
        <f t="shared" si="67"/>
        <v>23951383.12</v>
      </c>
      <c r="BC66" s="21">
        <f t="shared" si="67"/>
        <v>81316469.39000002</v>
      </c>
      <c r="BD66" s="21">
        <f t="shared" si="67"/>
        <v>66154801.54</v>
      </c>
      <c r="BE66" s="21">
        <f t="shared" si="67"/>
        <v>26004428.619999997</v>
      </c>
      <c r="BF66" s="21">
        <f t="shared" si="67"/>
        <v>92159230.16</v>
      </c>
      <c r="BG66" s="21">
        <f t="shared" si="67"/>
        <v>74729425.39</v>
      </c>
      <c r="BH66" s="21">
        <f t="shared" si="67"/>
        <v>28196315.560000006</v>
      </c>
      <c r="BI66" s="21">
        <f>+BH66+BG66</f>
        <v>102925740.95</v>
      </c>
      <c r="BJ66" s="21">
        <f t="shared" si="67"/>
        <v>79811550.53</v>
      </c>
      <c r="BK66" s="21">
        <f t="shared" si="67"/>
        <v>28413429.939999998</v>
      </c>
      <c r="BL66" s="21">
        <f t="shared" si="67"/>
        <v>108224980.47000001</v>
      </c>
      <c r="BM66" s="21">
        <f aca="true" t="shared" si="68" ref="BM66:BR66">+SUM(BM67:BM73)</f>
        <v>119252080.32000001</v>
      </c>
      <c r="BN66" s="21">
        <f t="shared" si="68"/>
        <v>35801778.309999995</v>
      </c>
      <c r="BO66" s="21">
        <f t="shared" si="68"/>
        <v>155053858.63000003</v>
      </c>
      <c r="BP66" s="21">
        <f t="shared" si="68"/>
        <v>130453953.50999999</v>
      </c>
      <c r="BQ66" s="21">
        <f t="shared" si="68"/>
        <v>40309265.46</v>
      </c>
      <c r="BR66" s="21">
        <f t="shared" si="68"/>
        <v>170763218.97000003</v>
      </c>
      <c r="BS66" s="21">
        <v>59071416.419999994</v>
      </c>
      <c r="BT66" s="21">
        <v>18824625.432899997</v>
      </c>
      <c r="BU66" s="21">
        <v>77896041.85290001</v>
      </c>
      <c r="BV66" s="21">
        <v>0</v>
      </c>
      <c r="BW66" s="21">
        <v>0</v>
      </c>
      <c r="BX66" s="21">
        <v>0</v>
      </c>
      <c r="BY66" s="21">
        <f>SUM(BY67:BY73)</f>
        <v>0</v>
      </c>
      <c r="BZ66" s="21">
        <f>SUM(BZ67:BZ73)</f>
        <v>0</v>
      </c>
      <c r="CA66" s="21">
        <f t="shared" si="45"/>
        <v>0</v>
      </c>
      <c r="CB66" s="21">
        <f>SUM(CB67:CB73)</f>
        <v>0</v>
      </c>
      <c r="CC66" s="21">
        <f>SUM(CC67:CC73)</f>
        <v>82192.34000000001</v>
      </c>
      <c r="CD66" s="21">
        <f t="shared" si="39"/>
        <v>82192.34000000001</v>
      </c>
      <c r="CE66" s="21">
        <f>SUM(CE67:CE73)</f>
        <v>0</v>
      </c>
      <c r="CF66" s="21">
        <f>SUM(CF67:CF73)</f>
        <v>0</v>
      </c>
      <c r="CG66" s="21">
        <f t="shared" si="40"/>
        <v>0</v>
      </c>
      <c r="CH66" s="21">
        <f>SUM(CH67:CH73)</f>
        <v>0</v>
      </c>
      <c r="CI66" s="21">
        <f>SUM(CI67:CI73)</f>
        <v>0</v>
      </c>
      <c r="CJ66" s="21">
        <f t="shared" si="46"/>
        <v>0</v>
      </c>
      <c r="CK66" s="21">
        <f>SUM(CK67:CK73)</f>
        <v>0</v>
      </c>
      <c r="CL66" s="21">
        <f>SUM(CL67:CL73)</f>
        <v>0</v>
      </c>
      <c r="CM66" s="21">
        <f t="shared" si="63"/>
        <v>0</v>
      </c>
    </row>
    <row r="67" spans="1:91" s="5" customFormat="1" ht="15">
      <c r="A67" s="8" t="s">
        <v>183</v>
      </c>
      <c r="B67" s="3"/>
      <c r="C67" s="3"/>
      <c r="D67" s="3">
        <f>SUM(B67:C67)</f>
        <v>0</v>
      </c>
      <c r="E67" s="3"/>
      <c r="F67" s="3"/>
      <c r="G67" s="3">
        <f>SUM(E67:F67)</f>
        <v>0</v>
      </c>
      <c r="H67" s="3"/>
      <c r="I67" s="3"/>
      <c r="J67" s="3">
        <f>SUM(H67:I67)</f>
        <v>0</v>
      </c>
      <c r="K67" s="3"/>
      <c r="L67" s="3"/>
      <c r="M67" s="3">
        <f>SUM(K67:L67)</f>
        <v>0</v>
      </c>
      <c r="N67" s="3"/>
      <c r="O67" s="3"/>
      <c r="P67" s="3">
        <f>SUM(N67:O67)</f>
        <v>0</v>
      </c>
      <c r="Q67" s="3"/>
      <c r="R67" s="3"/>
      <c r="S67" s="3">
        <f>SUM(Q67:R67)</f>
        <v>0</v>
      </c>
      <c r="T67" s="3"/>
      <c r="U67" s="3">
        <v>3723811.94</v>
      </c>
      <c r="V67" s="3">
        <f>SUM(T67:U67)</f>
        <v>3723811.94</v>
      </c>
      <c r="W67" s="3"/>
      <c r="X67" s="3">
        <v>7200562.71</v>
      </c>
      <c r="Y67" s="3">
        <f>SUM(W67:X67)</f>
        <v>7200562.71</v>
      </c>
      <c r="Z67" s="3"/>
      <c r="AA67" s="3">
        <v>11521741.53</v>
      </c>
      <c r="AB67" s="3">
        <f>SUM(Z67:AA67)</f>
        <v>11521741.53</v>
      </c>
      <c r="AC67" s="3"/>
      <c r="AD67" s="3">
        <v>16105769.79</v>
      </c>
      <c r="AE67" s="3">
        <f>SUM(AC67:AD67)</f>
        <v>16105769.79</v>
      </c>
      <c r="AF67" s="3">
        <v>13778939.31</v>
      </c>
      <c r="AG67" s="3">
        <f>14287402.19+644230.22</f>
        <v>14931632.41</v>
      </c>
      <c r="AH67" s="3">
        <f>SUM(AF67:AG67)</f>
        <v>28710571.72</v>
      </c>
      <c r="AI67" s="3">
        <v>14163947.02</v>
      </c>
      <c r="AJ67" s="3">
        <f>13446440.02+438546.85</f>
        <v>13884986.87</v>
      </c>
      <c r="AK67" s="3">
        <f>SUM(AI67:AJ67)</f>
        <v>28048933.89</v>
      </c>
      <c r="AL67" s="3">
        <f>+'[5]2006'!$O$67</f>
        <v>14882097.879999999</v>
      </c>
      <c r="AM67" s="3">
        <f>+'[5]2006'!$N$67</f>
        <v>14264566.43</v>
      </c>
      <c r="AN67" s="3">
        <f>SUM(AL67:AM67)</f>
        <v>29146664.31</v>
      </c>
      <c r="AO67" s="3">
        <f>+'[5]2007'!$O$67</f>
        <v>16574686.86</v>
      </c>
      <c r="AP67" s="11">
        <f>+'[5]2007'!$N$67</f>
        <v>16202135.81</v>
      </c>
      <c r="AQ67" s="3">
        <f>SUM(AO67:AP67)</f>
        <v>32776822.67</v>
      </c>
      <c r="AR67" s="11">
        <f>+'[3]ANO_08'!N98</f>
        <v>15373403.83</v>
      </c>
      <c r="AS67" s="11">
        <f>+'[3]ANO_08'!O98</f>
        <v>14454811.74</v>
      </c>
      <c r="AT67" s="3">
        <f>SUM(AR67:AS67)</f>
        <v>29828215.57</v>
      </c>
      <c r="AU67" s="11">
        <f>+'[4]ANO_09'!N100</f>
        <v>19174082.5</v>
      </c>
      <c r="AV67" s="11">
        <f>+'[4]ANO_09'!O100</f>
        <v>15108564.620000001</v>
      </c>
      <c r="AW67" s="3">
        <f>SUM(AU67:AV67)</f>
        <v>34282647.120000005</v>
      </c>
      <c r="AX67" s="11">
        <v>16436228.350000001</v>
      </c>
      <c r="AY67" s="11">
        <v>10394346.01</v>
      </c>
      <c r="AZ67" s="3">
        <f>SUM(AX67:AY67)</f>
        <v>26830574.36</v>
      </c>
      <c r="BA67" s="11">
        <v>14601888.83</v>
      </c>
      <c r="BB67" s="11">
        <v>9057710.67</v>
      </c>
      <c r="BC67" s="3">
        <f>SUM(BA67:BB67)</f>
        <v>23659599.5</v>
      </c>
      <c r="BD67" s="85">
        <v>17144019.41</v>
      </c>
      <c r="BE67" s="85">
        <v>9569724.469999999</v>
      </c>
      <c r="BF67" s="85">
        <v>26713743.880000003</v>
      </c>
      <c r="BG67" s="85">
        <v>19499985.009999998</v>
      </c>
      <c r="BH67" s="85">
        <v>10148048.49</v>
      </c>
      <c r="BI67" s="85">
        <f>+BH67+BG67</f>
        <v>29648033.5</v>
      </c>
      <c r="BJ67" s="85">
        <v>21089442.48</v>
      </c>
      <c r="BK67" s="85">
        <v>10297593.879999999</v>
      </c>
      <c r="BL67" s="85">
        <f aca="true" t="shared" si="69" ref="BL67:BL73">+BJ67+BK67</f>
        <v>31387036.36</v>
      </c>
      <c r="BM67" s="85">
        <v>26955232.42</v>
      </c>
      <c r="BN67" s="85">
        <v>11884528</v>
      </c>
      <c r="BO67" s="85">
        <v>38839760.42</v>
      </c>
      <c r="BP67" s="85">
        <v>33339917.41</v>
      </c>
      <c r="BQ67" s="85">
        <v>14552158.85</v>
      </c>
      <c r="BR67" s="85">
        <v>47892076.26</v>
      </c>
      <c r="BS67" s="85">
        <v>13924139.06</v>
      </c>
      <c r="BT67" s="85">
        <v>5712799.14</v>
      </c>
      <c r="BU67" s="85">
        <v>19636938.2</v>
      </c>
      <c r="BV67" s="85">
        <v>0</v>
      </c>
      <c r="BW67" s="85">
        <v>0</v>
      </c>
      <c r="BX67" s="85">
        <v>0</v>
      </c>
      <c r="BY67" s="85">
        <v>0</v>
      </c>
      <c r="BZ67" s="85">
        <v>0</v>
      </c>
      <c r="CA67" s="85">
        <f t="shared" si="45"/>
        <v>0</v>
      </c>
      <c r="CB67" s="85">
        <v>0</v>
      </c>
      <c r="CC67" s="85">
        <v>0</v>
      </c>
      <c r="CD67" s="85">
        <f t="shared" si="39"/>
        <v>0</v>
      </c>
      <c r="CE67" s="85">
        <v>0</v>
      </c>
      <c r="CF67" s="85">
        <v>0</v>
      </c>
      <c r="CG67" s="85">
        <f t="shared" si="40"/>
        <v>0</v>
      </c>
      <c r="CH67" s="85">
        <v>0</v>
      </c>
      <c r="CI67" s="85">
        <v>0</v>
      </c>
      <c r="CJ67" s="85">
        <f t="shared" si="46"/>
        <v>0</v>
      </c>
      <c r="CK67" s="85">
        <v>0</v>
      </c>
      <c r="CL67" s="85">
        <v>0</v>
      </c>
      <c r="CM67" s="85">
        <f t="shared" si="63"/>
        <v>0</v>
      </c>
    </row>
    <row r="68" spans="1:91" s="5" customFormat="1" ht="15">
      <c r="A68" s="12" t="s">
        <v>184</v>
      </c>
      <c r="B68" s="3"/>
      <c r="C68" s="3"/>
      <c r="D68" s="3">
        <f>SUM(B68:C68)</f>
        <v>0</v>
      </c>
      <c r="E68" s="3"/>
      <c r="F68" s="3"/>
      <c r="G68" s="3">
        <f>SUM(E68:F68)</f>
        <v>0</v>
      </c>
      <c r="H68" s="3"/>
      <c r="I68" s="3">
        <v>137999.83</v>
      </c>
      <c r="J68" s="3">
        <f>SUM(H68:I68)</f>
        <v>137999.83</v>
      </c>
      <c r="K68" s="3"/>
      <c r="L68" s="3">
        <v>141741.99</v>
      </c>
      <c r="M68" s="3">
        <f>SUM(K68:L68)</f>
        <v>141741.99</v>
      </c>
      <c r="N68" s="3"/>
      <c r="O68" s="3">
        <v>544082.05</v>
      </c>
      <c r="P68" s="3">
        <f>SUM(N68:O68)</f>
        <v>544082.05</v>
      </c>
      <c r="Q68" s="3"/>
      <c r="R68" s="3">
        <v>1712331.33</v>
      </c>
      <c r="S68" s="3">
        <f>SUM(Q68:R68)</f>
        <v>1712331.33</v>
      </c>
      <c r="T68" s="3"/>
      <c r="U68" s="3">
        <v>1756537.8</v>
      </c>
      <c r="V68" s="3">
        <f>SUM(T68:U68)</f>
        <v>1756537.8</v>
      </c>
      <c r="W68" s="3"/>
      <c r="X68" s="3">
        <v>2341640.33</v>
      </c>
      <c r="Y68" s="3">
        <f>SUM(W68:X68)</f>
        <v>2341640.33</v>
      </c>
      <c r="Z68" s="3"/>
      <c r="AA68" s="3">
        <v>2943147.21</v>
      </c>
      <c r="AB68" s="3">
        <f>SUM(Z68:AA68)</f>
        <v>2943147.21</v>
      </c>
      <c r="AC68" s="3"/>
      <c r="AD68" s="3">
        <v>3413206.61</v>
      </c>
      <c r="AE68" s="3">
        <f>SUM(AC68:AD68)</f>
        <v>3413206.61</v>
      </c>
      <c r="AF68" s="3">
        <v>6721169.64</v>
      </c>
      <c r="AG68" s="3">
        <v>1552645.29</v>
      </c>
      <c r="AH68" s="3">
        <f>SUM(AF68:AG68)</f>
        <v>8273814.93</v>
      </c>
      <c r="AI68" s="3">
        <v>7536340.84</v>
      </c>
      <c r="AJ68" s="3">
        <v>3200405.89</v>
      </c>
      <c r="AK68" s="3">
        <f>SUM(AI68:AJ68)</f>
        <v>10736746.73</v>
      </c>
      <c r="AL68" s="3">
        <f>+'[5]2006'!$O$63</f>
        <v>7093431.7</v>
      </c>
      <c r="AM68" s="3">
        <f>+'[5]2006'!$N$63</f>
        <v>2776321.65</v>
      </c>
      <c r="AN68" s="3">
        <f>SUM(AL68:AM68)</f>
        <v>9869753.35</v>
      </c>
      <c r="AO68" s="3">
        <f>+'[5]2007'!$O$63</f>
        <v>6643671.140000001</v>
      </c>
      <c r="AP68" s="11">
        <f>+'[5]2007'!$N$63</f>
        <v>2442191.5199999996</v>
      </c>
      <c r="AQ68" s="3">
        <f>SUM(AO68:AP68)</f>
        <v>9085862.66</v>
      </c>
      <c r="AR68" s="11">
        <f>+'[3]ANO_08'!N99</f>
        <v>5587108.91</v>
      </c>
      <c r="AS68" s="11">
        <f>+'[3]ANO_08'!O99</f>
        <v>1886503.35</v>
      </c>
      <c r="AT68" s="3">
        <f>SUM(AR68:AS68)</f>
        <v>7473612.26</v>
      </c>
      <c r="AU68" s="11">
        <f>+'[4]ANO_09'!N101</f>
        <v>6868714.49</v>
      </c>
      <c r="AV68" s="11">
        <f>+'[4]ANO_09'!O101</f>
        <v>2114078.81</v>
      </c>
      <c r="AW68" s="3">
        <f>SUM(AU68:AV68)</f>
        <v>8982793.3</v>
      </c>
      <c r="AX68" s="11">
        <v>5753282.22</v>
      </c>
      <c r="AY68" s="11">
        <v>1596793.96</v>
      </c>
      <c r="AZ68" s="3">
        <f>SUM(AX68:AY68)</f>
        <v>7350076.18</v>
      </c>
      <c r="BA68" s="11">
        <v>5432024.6899999995</v>
      </c>
      <c r="BB68" s="11">
        <v>1343939.73</v>
      </c>
      <c r="BC68" s="3">
        <f>SUM(BA68:BB68)</f>
        <v>6775964.42</v>
      </c>
      <c r="BD68" s="85">
        <v>6185430.699999999</v>
      </c>
      <c r="BE68" s="85">
        <v>1343565.13</v>
      </c>
      <c r="BF68" s="85">
        <v>13245622.899999999</v>
      </c>
      <c r="BG68" s="85">
        <v>6916658.5</v>
      </c>
      <c r="BH68" s="85">
        <v>1292163.81</v>
      </c>
      <c r="BI68" s="85">
        <f aca="true" t="shared" si="70" ref="BI68:BI75">+BH68+BG68</f>
        <v>8208822.3100000005</v>
      </c>
      <c r="BJ68" s="85">
        <v>7536832.33</v>
      </c>
      <c r="BK68" s="85">
        <v>1187190.63</v>
      </c>
      <c r="BL68" s="85">
        <f t="shared" si="69"/>
        <v>8724022.96</v>
      </c>
      <c r="BM68" s="85">
        <v>11232924.77</v>
      </c>
      <c r="BN68" s="85">
        <v>1424296.03</v>
      </c>
      <c r="BO68" s="85">
        <v>12657220.799999999</v>
      </c>
      <c r="BP68" s="85">
        <v>11259669.059999999</v>
      </c>
      <c r="BQ68" s="85">
        <v>1176021.13</v>
      </c>
      <c r="BR68" s="85">
        <v>12435690.189999998</v>
      </c>
      <c r="BS68" s="85">
        <v>5096905.78</v>
      </c>
      <c r="BT68" s="85">
        <v>458087.47000000003</v>
      </c>
      <c r="BU68" s="85">
        <v>5554993.25</v>
      </c>
      <c r="BV68" s="85">
        <v>0</v>
      </c>
      <c r="BW68" s="85">
        <v>0</v>
      </c>
      <c r="BX68" s="85">
        <v>0</v>
      </c>
      <c r="BY68" s="85">
        <v>0</v>
      </c>
      <c r="BZ68" s="85">
        <v>0</v>
      </c>
      <c r="CA68" s="85">
        <f aca="true" t="shared" si="71" ref="CA68:CA73">+BY68+BZ68</f>
        <v>0</v>
      </c>
      <c r="CB68" s="85">
        <v>0</v>
      </c>
      <c r="CC68" s="85">
        <v>7355.27</v>
      </c>
      <c r="CD68" s="85">
        <f t="shared" si="39"/>
        <v>7355.27</v>
      </c>
      <c r="CE68" s="85">
        <v>0</v>
      </c>
      <c r="CF68" s="85">
        <v>0</v>
      </c>
      <c r="CG68" s="85">
        <f t="shared" si="40"/>
        <v>0</v>
      </c>
      <c r="CH68" s="85">
        <v>0</v>
      </c>
      <c r="CI68" s="85">
        <v>0</v>
      </c>
      <c r="CJ68" s="85">
        <f t="shared" si="46"/>
        <v>0</v>
      </c>
      <c r="CK68" s="85">
        <v>0</v>
      </c>
      <c r="CL68" s="85">
        <v>0</v>
      </c>
      <c r="CM68" s="85">
        <f t="shared" si="63"/>
        <v>0</v>
      </c>
    </row>
    <row r="69" spans="1:91" s="5" customFormat="1" ht="15">
      <c r="A69" s="12" t="s">
        <v>185</v>
      </c>
      <c r="B69" s="3"/>
      <c r="C69" s="3">
        <v>677243.83</v>
      </c>
      <c r="D69" s="3">
        <f>SUM(B69:C69)</f>
        <v>677243.83</v>
      </c>
      <c r="E69" s="3"/>
      <c r="F69" s="3">
        <v>1643419.24</v>
      </c>
      <c r="G69" s="3">
        <f>SUM(E69:F69)</f>
        <v>1643419.24</v>
      </c>
      <c r="H69" s="3"/>
      <c r="I69" s="3">
        <v>3232231.04</v>
      </c>
      <c r="J69" s="3">
        <f>SUM(H69:I69)</f>
        <v>3232231.04</v>
      </c>
      <c r="K69" s="3"/>
      <c r="L69" s="3">
        <v>7474017.72</v>
      </c>
      <c r="M69" s="3">
        <f>SUM(K69:L69)</f>
        <v>7474017.72</v>
      </c>
      <c r="N69" s="3"/>
      <c r="O69" s="3">
        <v>14227729.86</v>
      </c>
      <c r="P69" s="3">
        <f>SUM(N69:O69)</f>
        <v>14227729.86</v>
      </c>
      <c r="Q69" s="3"/>
      <c r="R69" s="3">
        <v>34393978.58</v>
      </c>
      <c r="S69" s="3">
        <f>SUM(Q69:R69)</f>
        <v>34393978.58</v>
      </c>
      <c r="T69" s="3"/>
      <c r="U69" s="3">
        <v>28948058.15</v>
      </c>
      <c r="V69" s="3">
        <f>SUM(T69:U69)</f>
        <v>28948058.15</v>
      </c>
      <c r="W69" s="3"/>
      <c r="X69" s="3">
        <v>37149900.49</v>
      </c>
      <c r="Y69" s="3">
        <f>SUM(W69:X69)</f>
        <v>37149900.49</v>
      </c>
      <c r="Z69" s="3"/>
      <c r="AA69" s="3">
        <v>41703417.08</v>
      </c>
      <c r="AB69" s="3">
        <f>SUM(Z69:AA69)</f>
        <v>41703417.08</v>
      </c>
      <c r="AC69" s="3"/>
      <c r="AD69" s="3">
        <v>49883659.67</v>
      </c>
      <c r="AE69" s="3">
        <f>SUM(AC69:AD69)</f>
        <v>49883659.67</v>
      </c>
      <c r="AF69" s="3">
        <v>58865832.81</v>
      </c>
      <c r="AG69" s="3">
        <f>41086161.2+7768.63</f>
        <v>41093929.830000006</v>
      </c>
      <c r="AH69" s="3">
        <f>SUM(AF69:AG69)</f>
        <v>99959762.64000002</v>
      </c>
      <c r="AI69" s="3">
        <v>50761434.22</v>
      </c>
      <c r="AJ69" s="3">
        <v>33033377.02</v>
      </c>
      <c r="AK69" s="3">
        <f>SUM(AI69:AJ69)</f>
        <v>83794811.24</v>
      </c>
      <c r="AL69" s="3">
        <f>+'[5]2006'!$O$62</f>
        <v>43026802.05</v>
      </c>
      <c r="AM69" s="3">
        <f>+'[5]2006'!$N$62</f>
        <v>23808389.060000002</v>
      </c>
      <c r="AN69" s="3">
        <f>SUM(AL69:AM69)</f>
        <v>66835191.11</v>
      </c>
      <c r="AO69" s="3">
        <f>+'[5]2007'!$O$62</f>
        <v>41880294.89</v>
      </c>
      <c r="AP69" s="11">
        <f>+'[5]2007'!$N$62</f>
        <v>21061436.61</v>
      </c>
      <c r="AQ69" s="3">
        <f>SUM(AO69:AP69)</f>
        <v>62941731.5</v>
      </c>
      <c r="AR69" s="11">
        <f>+'[3]ANO_08'!N100</f>
        <v>38985422.67</v>
      </c>
      <c r="AS69" s="11">
        <f>+'[3]ANO_08'!O100</f>
        <v>18117505.009999998</v>
      </c>
      <c r="AT69" s="3">
        <f>SUM(AR69:AS69)</f>
        <v>57102927.68</v>
      </c>
      <c r="AU69" s="11">
        <f>+'[4]ANO_09'!N102</f>
        <v>44782683.150000006</v>
      </c>
      <c r="AV69" s="11">
        <f>+'[4]ANO_09'!O102</f>
        <v>20579404.82</v>
      </c>
      <c r="AW69" s="3">
        <f>SUM(AU69:AV69)</f>
        <v>65362087.970000006</v>
      </c>
      <c r="AX69" s="11">
        <v>40413903.730000004</v>
      </c>
      <c r="AY69" s="11">
        <v>14820818.8</v>
      </c>
      <c r="AZ69" s="3">
        <f>SUM(AX69:AY69)</f>
        <v>55234722.53</v>
      </c>
      <c r="BA69" s="11">
        <v>37331172.75</v>
      </c>
      <c r="BB69" s="11">
        <v>13326125.23</v>
      </c>
      <c r="BC69" s="3">
        <f>SUM(BA69:BB69)</f>
        <v>50657297.980000004</v>
      </c>
      <c r="BD69" s="85">
        <v>42825351.43</v>
      </c>
      <c r="BE69" s="85">
        <v>12864360.02</v>
      </c>
      <c r="BF69" s="85">
        <v>49973084.379999995</v>
      </c>
      <c r="BG69" s="85">
        <v>48312781.88</v>
      </c>
      <c r="BH69" s="85">
        <v>12819023.9</v>
      </c>
      <c r="BI69" s="85">
        <f t="shared" si="70"/>
        <v>61131805.78</v>
      </c>
      <c r="BJ69" s="85">
        <v>51185275.72</v>
      </c>
      <c r="BK69" s="85">
        <v>11634872.61</v>
      </c>
      <c r="BL69" s="85">
        <f t="shared" si="69"/>
        <v>62820148.33</v>
      </c>
      <c r="BM69" s="85">
        <v>76386516.61</v>
      </c>
      <c r="BN69" s="85">
        <v>13965866.23</v>
      </c>
      <c r="BO69" s="85">
        <v>90352382.84</v>
      </c>
      <c r="BP69" s="85">
        <v>78877433.39</v>
      </c>
      <c r="BQ69" s="85">
        <v>12680735.42</v>
      </c>
      <c r="BR69" s="85">
        <v>91558168.81</v>
      </c>
      <c r="BS69" s="85">
        <v>35152621.24</v>
      </c>
      <c r="BT69" s="85">
        <v>4770583.9029</v>
      </c>
      <c r="BU69" s="85">
        <v>39923205.142900005</v>
      </c>
      <c r="BV69" s="85">
        <v>0</v>
      </c>
      <c r="BW69" s="85">
        <v>0</v>
      </c>
      <c r="BX69" s="85">
        <v>0</v>
      </c>
      <c r="BY69" s="85">
        <v>0</v>
      </c>
      <c r="BZ69" s="85">
        <v>0</v>
      </c>
      <c r="CA69" s="85">
        <f t="shared" si="71"/>
        <v>0</v>
      </c>
      <c r="CB69" s="85">
        <v>0</v>
      </c>
      <c r="CC69" s="85">
        <v>74837.07</v>
      </c>
      <c r="CD69" s="85">
        <f t="shared" si="39"/>
        <v>74837.07</v>
      </c>
      <c r="CE69" s="85">
        <v>0</v>
      </c>
      <c r="CF69" s="85">
        <v>0</v>
      </c>
      <c r="CG69" s="85">
        <f t="shared" si="40"/>
        <v>0</v>
      </c>
      <c r="CH69" s="85">
        <v>0</v>
      </c>
      <c r="CI69" s="85">
        <v>0</v>
      </c>
      <c r="CJ69" s="85">
        <f t="shared" si="46"/>
        <v>0</v>
      </c>
      <c r="CK69" s="85">
        <v>0</v>
      </c>
      <c r="CL69" s="85">
        <v>0</v>
      </c>
      <c r="CM69" s="85">
        <f t="shared" si="63"/>
        <v>0</v>
      </c>
    </row>
    <row r="70" spans="1:91" ht="15">
      <c r="A70" s="7" t="s">
        <v>186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11"/>
      <c r="AQ70" s="3"/>
      <c r="AR70" s="11"/>
      <c r="AS70" s="11"/>
      <c r="AT70" s="3"/>
      <c r="AU70" s="11"/>
      <c r="AV70" s="11"/>
      <c r="AW70" s="3"/>
      <c r="AX70" s="11">
        <v>0</v>
      </c>
      <c r="AY70" s="11">
        <v>22042.97</v>
      </c>
      <c r="AZ70" s="3">
        <f>SUM(AX70:AY70)</f>
        <v>22042.97</v>
      </c>
      <c r="BA70" s="11">
        <v>0</v>
      </c>
      <c r="BB70" s="11">
        <v>126001.79000000001</v>
      </c>
      <c r="BC70" s="3">
        <f>SUM(BA70:BB70)</f>
        <v>126001.79000000001</v>
      </c>
      <c r="BD70" s="85"/>
      <c r="BE70" s="85">
        <v>227484.91</v>
      </c>
      <c r="BF70" s="85">
        <v>227484.91</v>
      </c>
      <c r="BG70" s="85">
        <v>0</v>
      </c>
      <c r="BH70" s="85">
        <v>250366.66000000003</v>
      </c>
      <c r="BI70" s="85">
        <f t="shared" si="70"/>
        <v>250366.66000000003</v>
      </c>
      <c r="BJ70" s="85">
        <v>0</v>
      </c>
      <c r="BK70" s="85">
        <v>318121.64</v>
      </c>
      <c r="BL70" s="85">
        <f t="shared" si="69"/>
        <v>318121.64</v>
      </c>
      <c r="BM70" s="85">
        <v>1575399.54</v>
      </c>
      <c r="BN70" s="85">
        <v>542242.71</v>
      </c>
      <c r="BO70" s="85">
        <v>2117642.25</v>
      </c>
      <c r="BP70" s="85">
        <v>4174413.4400000004</v>
      </c>
      <c r="BQ70" s="85">
        <v>1171654.42</v>
      </c>
      <c r="BR70" s="85">
        <v>5346067.86</v>
      </c>
      <c r="BS70" s="85">
        <v>2119146.22</v>
      </c>
      <c r="BT70" s="85">
        <v>622079.15</v>
      </c>
      <c r="BU70" s="85">
        <v>2741225.37</v>
      </c>
      <c r="BV70" s="85">
        <v>0</v>
      </c>
      <c r="BW70" s="85">
        <v>0</v>
      </c>
      <c r="BX70" s="85">
        <v>0</v>
      </c>
      <c r="BY70" s="85">
        <v>0</v>
      </c>
      <c r="BZ70" s="85">
        <v>0</v>
      </c>
      <c r="CA70" s="85">
        <f t="shared" si="71"/>
        <v>0</v>
      </c>
      <c r="CB70" s="85">
        <v>0</v>
      </c>
      <c r="CC70" s="85">
        <v>0</v>
      </c>
      <c r="CD70" s="85">
        <f t="shared" si="39"/>
        <v>0</v>
      </c>
      <c r="CE70" s="85">
        <v>0</v>
      </c>
      <c r="CF70" s="85">
        <v>0</v>
      </c>
      <c r="CG70" s="85">
        <f t="shared" si="40"/>
        <v>0</v>
      </c>
      <c r="CH70" s="85">
        <v>0</v>
      </c>
      <c r="CI70" s="85">
        <v>0</v>
      </c>
      <c r="CJ70" s="85">
        <f t="shared" si="46"/>
        <v>0</v>
      </c>
      <c r="CK70" s="85">
        <v>0</v>
      </c>
      <c r="CL70" s="85">
        <v>0</v>
      </c>
      <c r="CM70" s="85">
        <f t="shared" si="63"/>
        <v>0</v>
      </c>
    </row>
    <row r="71" spans="1:91" ht="15">
      <c r="A71" s="7" t="s">
        <v>187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11"/>
      <c r="AQ71" s="3"/>
      <c r="AR71" s="11"/>
      <c r="AS71" s="11"/>
      <c r="AT71" s="3"/>
      <c r="AU71" s="11"/>
      <c r="AV71" s="11"/>
      <c r="AW71" s="3"/>
      <c r="AX71" s="11"/>
      <c r="AY71" s="11"/>
      <c r="AZ71" s="3"/>
      <c r="BA71" s="11">
        <v>0</v>
      </c>
      <c r="BB71" s="11">
        <v>97605.7</v>
      </c>
      <c r="BC71" s="3">
        <f>SUM(BA71:BB71)</f>
        <v>97605.7</v>
      </c>
      <c r="BD71" s="85"/>
      <c r="BE71" s="85">
        <v>655165.76</v>
      </c>
      <c r="BF71" s="85">
        <f>+BD71+BE71</f>
        <v>655165.76</v>
      </c>
      <c r="BG71" s="85">
        <v>0</v>
      </c>
      <c r="BH71" s="85">
        <v>740224.3</v>
      </c>
      <c r="BI71" s="85">
        <f t="shared" si="70"/>
        <v>740224.3</v>
      </c>
      <c r="BJ71" s="85">
        <v>0</v>
      </c>
      <c r="BK71" s="85">
        <v>1093953.5</v>
      </c>
      <c r="BL71" s="85">
        <f t="shared" si="69"/>
        <v>1093953.5</v>
      </c>
      <c r="BM71" s="85">
        <v>3102006.98</v>
      </c>
      <c r="BN71" s="85">
        <v>2062253.3499999999</v>
      </c>
      <c r="BO71" s="85">
        <v>5164260.33</v>
      </c>
      <c r="BP71" s="85">
        <v>2802520.21</v>
      </c>
      <c r="BQ71" s="85">
        <v>2183495.81</v>
      </c>
      <c r="BR71" s="85">
        <v>4986016.02</v>
      </c>
      <c r="BS71" s="85">
        <v>2778604.12</v>
      </c>
      <c r="BT71" s="85">
        <v>1756459.21</v>
      </c>
      <c r="BU71" s="85">
        <v>4535063.33</v>
      </c>
      <c r="BV71" s="85">
        <v>0</v>
      </c>
      <c r="BW71" s="85">
        <v>0</v>
      </c>
      <c r="BX71" s="85">
        <v>0</v>
      </c>
      <c r="BY71" s="85">
        <v>0</v>
      </c>
      <c r="BZ71" s="85">
        <v>0</v>
      </c>
      <c r="CA71" s="85">
        <f t="shared" si="71"/>
        <v>0</v>
      </c>
      <c r="CB71" s="85">
        <v>0</v>
      </c>
      <c r="CC71" s="85">
        <v>0</v>
      </c>
      <c r="CD71" s="85">
        <f t="shared" si="39"/>
        <v>0</v>
      </c>
      <c r="CE71" s="85">
        <v>0</v>
      </c>
      <c r="CF71" s="85">
        <v>0</v>
      </c>
      <c r="CG71" s="85">
        <f t="shared" si="40"/>
        <v>0</v>
      </c>
      <c r="CH71" s="85">
        <v>0</v>
      </c>
      <c r="CI71" s="85">
        <v>0</v>
      </c>
      <c r="CJ71" s="85">
        <f t="shared" si="46"/>
        <v>0</v>
      </c>
      <c r="CK71" s="85">
        <v>0</v>
      </c>
      <c r="CL71" s="85">
        <v>0</v>
      </c>
      <c r="CM71" s="85">
        <f t="shared" si="63"/>
        <v>0</v>
      </c>
    </row>
    <row r="72" spans="1:91" ht="15">
      <c r="A72" s="7" t="s">
        <v>188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11"/>
      <c r="AQ72" s="3"/>
      <c r="AR72" s="11"/>
      <c r="AS72" s="11"/>
      <c r="AT72" s="3"/>
      <c r="AU72" s="11"/>
      <c r="AV72" s="11"/>
      <c r="AW72" s="3"/>
      <c r="AX72" s="11"/>
      <c r="AY72" s="11"/>
      <c r="AZ72" s="3"/>
      <c r="BA72" s="11"/>
      <c r="BB72" s="11"/>
      <c r="BC72" s="3"/>
      <c r="BD72" s="85"/>
      <c r="BE72" s="85">
        <v>1344128.33</v>
      </c>
      <c r="BF72" s="85">
        <f>+BD72+BE72</f>
        <v>1344128.33</v>
      </c>
      <c r="BG72" s="85">
        <v>0</v>
      </c>
      <c r="BH72" s="85">
        <v>2730778.62</v>
      </c>
      <c r="BI72" s="85">
        <f t="shared" si="70"/>
        <v>2730778.62</v>
      </c>
      <c r="BJ72" s="85">
        <v>0</v>
      </c>
      <c r="BK72" s="85">
        <v>3424806.87</v>
      </c>
      <c r="BL72" s="85">
        <f t="shared" si="69"/>
        <v>3424806.87</v>
      </c>
      <c r="BM72" s="85">
        <v>0</v>
      </c>
      <c r="BN72" s="85">
        <v>5233960.09</v>
      </c>
      <c r="BO72" s="85">
        <v>5233960.09</v>
      </c>
      <c r="BP72" s="85">
        <v>0</v>
      </c>
      <c r="BQ72" s="85">
        <v>6867070.02</v>
      </c>
      <c r="BR72" s="85">
        <v>6867070.02</v>
      </c>
      <c r="BS72" s="85">
        <v>0</v>
      </c>
      <c r="BT72" s="85">
        <v>5504616.5600000005</v>
      </c>
      <c r="BU72" s="85">
        <v>5504616.5600000005</v>
      </c>
      <c r="BV72" s="85">
        <v>0</v>
      </c>
      <c r="BW72" s="85">
        <v>0</v>
      </c>
      <c r="BX72" s="85">
        <v>0</v>
      </c>
      <c r="BY72" s="85">
        <v>0</v>
      </c>
      <c r="BZ72" s="85">
        <v>0</v>
      </c>
      <c r="CA72" s="85">
        <f t="shared" si="71"/>
        <v>0</v>
      </c>
      <c r="CB72" s="85">
        <v>0</v>
      </c>
      <c r="CC72" s="85">
        <v>0</v>
      </c>
      <c r="CD72" s="85">
        <f t="shared" si="39"/>
        <v>0</v>
      </c>
      <c r="CE72" s="85">
        <v>0</v>
      </c>
      <c r="CF72" s="85">
        <v>0</v>
      </c>
      <c r="CG72" s="85">
        <f t="shared" si="40"/>
        <v>0</v>
      </c>
      <c r="CH72" s="85">
        <v>0</v>
      </c>
      <c r="CI72" s="85">
        <v>0</v>
      </c>
      <c r="CJ72" s="85">
        <f t="shared" si="46"/>
        <v>0</v>
      </c>
      <c r="CK72" s="85">
        <v>0</v>
      </c>
      <c r="CL72" s="85">
        <v>0</v>
      </c>
      <c r="CM72" s="85">
        <f t="shared" si="63"/>
        <v>0</v>
      </c>
    </row>
    <row r="73" spans="1:91" ht="15">
      <c r="A73" s="7" t="s">
        <v>189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11"/>
      <c r="AQ73" s="3"/>
      <c r="AR73" s="11"/>
      <c r="AS73" s="11"/>
      <c r="AT73" s="3"/>
      <c r="AU73" s="11"/>
      <c r="AV73" s="11"/>
      <c r="AW73" s="3"/>
      <c r="AX73" s="11"/>
      <c r="AY73" s="11"/>
      <c r="AZ73" s="3"/>
      <c r="BA73" s="11"/>
      <c r="BB73" s="11"/>
      <c r="BC73" s="3"/>
      <c r="BD73" s="85"/>
      <c r="BE73" s="85"/>
      <c r="BF73" s="85"/>
      <c r="BG73" s="85">
        <v>0</v>
      </c>
      <c r="BH73" s="85">
        <v>215709.78</v>
      </c>
      <c r="BI73" s="85">
        <f t="shared" si="70"/>
        <v>215709.78</v>
      </c>
      <c r="BJ73" s="85">
        <v>0</v>
      </c>
      <c r="BK73" s="85">
        <v>456890.81</v>
      </c>
      <c r="BL73" s="85">
        <f t="shared" si="69"/>
        <v>456890.81</v>
      </c>
      <c r="BM73" s="85">
        <v>0</v>
      </c>
      <c r="BN73" s="85">
        <v>688631.8999999999</v>
      </c>
      <c r="BO73" s="85">
        <v>688631.8999999999</v>
      </c>
      <c r="BP73" s="85">
        <v>0</v>
      </c>
      <c r="BQ73" s="85">
        <v>1678129.81</v>
      </c>
      <c r="BR73" s="85">
        <v>1678129.81</v>
      </c>
      <c r="BS73" s="85">
        <v>0</v>
      </c>
      <c r="BT73" s="85">
        <v>0</v>
      </c>
      <c r="BU73" s="85">
        <v>0</v>
      </c>
      <c r="BV73" s="85">
        <v>0</v>
      </c>
      <c r="BW73" s="85">
        <v>0</v>
      </c>
      <c r="BX73" s="85">
        <v>0</v>
      </c>
      <c r="BY73" s="85">
        <v>0</v>
      </c>
      <c r="BZ73" s="85">
        <v>0</v>
      </c>
      <c r="CA73" s="85">
        <f t="shared" si="71"/>
        <v>0</v>
      </c>
      <c r="CB73" s="85">
        <v>0</v>
      </c>
      <c r="CC73" s="85">
        <v>0</v>
      </c>
      <c r="CD73" s="85">
        <f t="shared" si="39"/>
        <v>0</v>
      </c>
      <c r="CE73" s="85">
        <v>0</v>
      </c>
      <c r="CF73" s="85">
        <v>0</v>
      </c>
      <c r="CG73" s="85">
        <f t="shared" si="40"/>
        <v>0</v>
      </c>
      <c r="CH73" s="85">
        <v>0</v>
      </c>
      <c r="CI73" s="85">
        <v>0</v>
      </c>
      <c r="CJ73" s="85">
        <f t="shared" si="46"/>
        <v>0</v>
      </c>
      <c r="CK73" s="85">
        <v>0</v>
      </c>
      <c r="CL73" s="85">
        <v>0</v>
      </c>
      <c r="CM73" s="85">
        <f t="shared" si="63"/>
        <v>0</v>
      </c>
    </row>
    <row r="74" spans="1:91" ht="15">
      <c r="A74" s="20" t="s">
        <v>142</v>
      </c>
      <c r="B74" s="21">
        <f aca="true" t="shared" si="72" ref="B74:AK74">+B75</f>
        <v>0</v>
      </c>
      <c r="C74" s="21">
        <f t="shared" si="72"/>
        <v>0</v>
      </c>
      <c r="D74" s="21">
        <f t="shared" si="72"/>
        <v>0</v>
      </c>
      <c r="E74" s="21">
        <f t="shared" si="72"/>
        <v>0</v>
      </c>
      <c r="F74" s="21">
        <f t="shared" si="72"/>
        <v>0</v>
      </c>
      <c r="G74" s="21">
        <f t="shared" si="72"/>
        <v>0</v>
      </c>
      <c r="H74" s="21">
        <f t="shared" si="72"/>
        <v>0</v>
      </c>
      <c r="I74" s="21">
        <f t="shared" si="72"/>
        <v>3675.33</v>
      </c>
      <c r="J74" s="21">
        <f t="shared" si="72"/>
        <v>3675.33</v>
      </c>
      <c r="K74" s="21">
        <f t="shared" si="72"/>
        <v>0</v>
      </c>
      <c r="L74" s="21">
        <f t="shared" si="72"/>
        <v>110479.3</v>
      </c>
      <c r="M74" s="21">
        <f t="shared" si="72"/>
        <v>110479.3</v>
      </c>
      <c r="N74" s="21">
        <f t="shared" si="72"/>
        <v>0</v>
      </c>
      <c r="O74" s="21">
        <f t="shared" si="72"/>
        <v>998031.75</v>
      </c>
      <c r="P74" s="21">
        <f t="shared" si="72"/>
        <v>998031.75</v>
      </c>
      <c r="Q74" s="21">
        <f t="shared" si="72"/>
        <v>0</v>
      </c>
      <c r="R74" s="21">
        <f t="shared" si="72"/>
        <v>6288579.87</v>
      </c>
      <c r="S74" s="21">
        <f t="shared" si="72"/>
        <v>6288579.87</v>
      </c>
      <c r="T74" s="21">
        <f t="shared" si="72"/>
        <v>0</v>
      </c>
      <c r="U74" s="21">
        <f t="shared" si="72"/>
        <v>8378386.59</v>
      </c>
      <c r="V74" s="21">
        <f t="shared" si="72"/>
        <v>8378386.59</v>
      </c>
      <c r="W74" s="21">
        <f t="shared" si="72"/>
        <v>19465269.23</v>
      </c>
      <c r="X74" s="21">
        <f t="shared" si="72"/>
        <v>12663166.379999999</v>
      </c>
      <c r="Y74" s="21">
        <f t="shared" si="72"/>
        <v>32128435.61</v>
      </c>
      <c r="Z74" s="21">
        <f t="shared" si="72"/>
        <v>38812939.61</v>
      </c>
      <c r="AA74" s="21">
        <f t="shared" si="72"/>
        <v>17198186.27</v>
      </c>
      <c r="AB74" s="21">
        <f t="shared" si="72"/>
        <v>56011125.879999995</v>
      </c>
      <c r="AC74" s="21">
        <f t="shared" si="72"/>
        <v>46448501.74</v>
      </c>
      <c r="AD74" s="21">
        <f t="shared" si="72"/>
        <v>20273244.97</v>
      </c>
      <c r="AE74" s="21">
        <f t="shared" si="72"/>
        <v>66721746.71</v>
      </c>
      <c r="AF74" s="21">
        <f t="shared" si="72"/>
        <v>45856432.64</v>
      </c>
      <c r="AG74" s="21">
        <f t="shared" si="72"/>
        <v>23963350.32</v>
      </c>
      <c r="AH74" s="21">
        <f t="shared" si="72"/>
        <v>69819782.96000001</v>
      </c>
      <c r="AI74" s="21">
        <f t="shared" si="72"/>
        <v>40492933.06</v>
      </c>
      <c r="AJ74" s="21">
        <f t="shared" si="72"/>
        <v>19675398.682</v>
      </c>
      <c r="AK74" s="21">
        <f t="shared" si="72"/>
        <v>60168331.742</v>
      </c>
      <c r="AL74" s="21">
        <f>+AL75</f>
        <v>31049601</v>
      </c>
      <c r="AM74" s="21">
        <f aca="true" t="shared" si="73" ref="AM74:BR74">+AM75</f>
        <v>17012674.55</v>
      </c>
      <c r="AN74" s="21">
        <f t="shared" si="73"/>
        <v>48062275.55</v>
      </c>
      <c r="AO74" s="21">
        <f t="shared" si="73"/>
        <v>29489940.57</v>
      </c>
      <c r="AP74" s="21">
        <f t="shared" si="73"/>
        <v>16487138.3</v>
      </c>
      <c r="AQ74" s="21">
        <f t="shared" si="73"/>
        <v>45977078.870000005</v>
      </c>
      <c r="AR74" s="21">
        <f t="shared" si="73"/>
        <v>30783756</v>
      </c>
      <c r="AS74" s="21">
        <f t="shared" si="73"/>
        <v>16002491.35</v>
      </c>
      <c r="AT74" s="21">
        <f t="shared" si="73"/>
        <v>46786247.35</v>
      </c>
      <c r="AU74" s="21">
        <f t="shared" si="73"/>
        <v>36812950.2</v>
      </c>
      <c r="AV74" s="21">
        <f t="shared" si="73"/>
        <v>17415438.25</v>
      </c>
      <c r="AW74" s="21">
        <f t="shared" si="73"/>
        <v>54228388.45</v>
      </c>
      <c r="AX74" s="21">
        <f t="shared" si="73"/>
        <v>33921658.2</v>
      </c>
      <c r="AY74" s="21">
        <f t="shared" si="73"/>
        <v>14459094.14</v>
      </c>
      <c r="AZ74" s="21">
        <f t="shared" si="73"/>
        <v>48380752.34</v>
      </c>
      <c r="BA74" s="21">
        <f t="shared" si="73"/>
        <v>37051056.6</v>
      </c>
      <c r="BB74" s="21">
        <f t="shared" si="73"/>
        <v>14080502.89</v>
      </c>
      <c r="BC74" s="21">
        <f t="shared" si="73"/>
        <v>51131559.49</v>
      </c>
      <c r="BD74" s="21">
        <f t="shared" si="73"/>
        <v>40367538.599999994</v>
      </c>
      <c r="BE74" s="21">
        <f t="shared" si="73"/>
        <v>13492194.34</v>
      </c>
      <c r="BF74" s="21">
        <f t="shared" si="73"/>
        <v>53859732.94</v>
      </c>
      <c r="BG74" s="21">
        <f t="shared" si="73"/>
        <v>37110583.2</v>
      </c>
      <c r="BH74" s="21">
        <f t="shared" si="73"/>
        <v>10675210.67</v>
      </c>
      <c r="BI74" s="21">
        <f t="shared" si="73"/>
        <v>47785793.870000005</v>
      </c>
      <c r="BJ74" s="21">
        <f t="shared" si="73"/>
        <v>38258596.2</v>
      </c>
      <c r="BK74" s="21">
        <f t="shared" si="73"/>
        <v>9267459.93</v>
      </c>
      <c r="BL74" s="21">
        <f t="shared" si="73"/>
        <v>47526056.13</v>
      </c>
      <c r="BM74" s="21">
        <f t="shared" si="73"/>
        <v>50257458</v>
      </c>
      <c r="BN74" s="21">
        <f t="shared" si="73"/>
        <v>9797194.829999998</v>
      </c>
      <c r="BO74" s="21">
        <f t="shared" si="73"/>
        <v>60054652.83</v>
      </c>
      <c r="BP74" s="21">
        <f t="shared" si="73"/>
        <v>54594396</v>
      </c>
      <c r="BQ74" s="21">
        <f t="shared" si="73"/>
        <v>8772926.379999999</v>
      </c>
      <c r="BR74" s="21">
        <f t="shared" si="73"/>
        <v>63367322.379999995</v>
      </c>
      <c r="BS74" s="21">
        <v>24380394.6</v>
      </c>
      <c r="BT74" s="21">
        <v>3291211.92</v>
      </c>
      <c r="BU74" s="21">
        <v>27671606.520000003</v>
      </c>
      <c r="BV74" s="21">
        <v>0</v>
      </c>
      <c r="BW74" s="21">
        <v>0</v>
      </c>
      <c r="BX74" s="21">
        <v>0</v>
      </c>
      <c r="BY74" s="21">
        <f>+BY75</f>
        <v>0</v>
      </c>
      <c r="BZ74" s="21">
        <f>+BZ75</f>
        <v>0</v>
      </c>
      <c r="CA74" s="21">
        <f>+BY74+BZ74</f>
        <v>0</v>
      </c>
      <c r="CB74" s="21">
        <f>+CB75</f>
        <v>0</v>
      </c>
      <c r="CC74" s="21">
        <f>+CC75</f>
        <v>0</v>
      </c>
      <c r="CD74" s="21">
        <f>+CB74+CC74</f>
        <v>0</v>
      </c>
      <c r="CE74" s="21">
        <f>+CE75</f>
        <v>0</v>
      </c>
      <c r="CF74" s="21">
        <f>+CF75</f>
        <v>0</v>
      </c>
      <c r="CG74" s="21">
        <f>+CE74+CF74</f>
        <v>0</v>
      </c>
      <c r="CH74" s="21">
        <f>+CH75</f>
        <v>0</v>
      </c>
      <c r="CI74" s="21">
        <f>+CI75</f>
        <v>0</v>
      </c>
      <c r="CJ74" s="21">
        <f>+CH74+CI74</f>
        <v>0</v>
      </c>
      <c r="CK74" s="21">
        <f>+CK75</f>
        <v>0</v>
      </c>
      <c r="CL74" s="21">
        <f>+CL75</f>
        <v>0</v>
      </c>
      <c r="CM74" s="21">
        <f>+CK74+CL74</f>
        <v>0</v>
      </c>
    </row>
    <row r="75" spans="1:91" ht="15">
      <c r="A75" s="12" t="s">
        <v>190</v>
      </c>
      <c r="B75" s="3"/>
      <c r="C75" s="3"/>
      <c r="D75" s="3"/>
      <c r="E75" s="3"/>
      <c r="F75" s="3"/>
      <c r="G75" s="3"/>
      <c r="H75" s="3"/>
      <c r="I75" s="3">
        <v>3675.33</v>
      </c>
      <c r="J75" s="3">
        <f>SUM(H75:I75)</f>
        <v>3675.33</v>
      </c>
      <c r="K75" s="3"/>
      <c r="L75" s="3">
        <v>110479.3</v>
      </c>
      <c r="M75" s="3">
        <f>SUM(K75:L75)</f>
        <v>110479.3</v>
      </c>
      <c r="N75" s="3"/>
      <c r="O75" s="3">
        <v>998031.75</v>
      </c>
      <c r="P75" s="3">
        <f>SUM(N75:O75)</f>
        <v>998031.75</v>
      </c>
      <c r="Q75" s="3"/>
      <c r="R75" s="3">
        <v>6288579.87</v>
      </c>
      <c r="S75" s="3">
        <f>SUM(Q75:R75)</f>
        <v>6288579.87</v>
      </c>
      <c r="T75" s="3"/>
      <c r="U75" s="3">
        <v>8378386.59</v>
      </c>
      <c r="V75" s="3">
        <f>SUM(T75:U75)</f>
        <v>8378386.59</v>
      </c>
      <c r="W75" s="3">
        <v>19465269.23</v>
      </c>
      <c r="X75" s="3">
        <f>12528388.36+134778.02</f>
        <v>12663166.379999999</v>
      </c>
      <c r="Y75" s="3">
        <f>SUM(W75:X75)</f>
        <v>32128435.61</v>
      </c>
      <c r="Z75" s="3">
        <v>38812939.61</v>
      </c>
      <c r="AA75" s="3">
        <f>16985291.8+212894.47</f>
        <v>17198186.27</v>
      </c>
      <c r="AB75" s="3">
        <f>SUM(Z75:AA75)</f>
        <v>56011125.879999995</v>
      </c>
      <c r="AC75" s="3">
        <v>46448501.74</v>
      </c>
      <c r="AD75" s="3">
        <f>20128267.11+144977.86</f>
        <v>20273244.97</v>
      </c>
      <c r="AE75" s="3">
        <f>SUM(AC75:AD75)</f>
        <v>66721746.71</v>
      </c>
      <c r="AF75" s="3">
        <v>45856432.64</v>
      </c>
      <c r="AG75" s="3">
        <f>22684743.77+1278606.55</f>
        <v>23963350.32</v>
      </c>
      <c r="AH75" s="3">
        <f>SUM(AF75:AG75)</f>
        <v>69819782.96000001</v>
      </c>
      <c r="AI75" s="3">
        <v>40492933.06</v>
      </c>
      <c r="AJ75" s="3">
        <f>19593823.06+81575.622</f>
        <v>19675398.682</v>
      </c>
      <c r="AK75" s="3">
        <f>SUM(AI75:AJ75)</f>
        <v>60168331.742</v>
      </c>
      <c r="AL75" s="3">
        <f>+'[5]2006'!$O$64</f>
        <v>31049601</v>
      </c>
      <c r="AM75" s="3">
        <f>+'[5]2006'!$N$64+'[5]2006'!$N$57</f>
        <v>17012674.55</v>
      </c>
      <c r="AN75" s="3">
        <f>SUM(AL75:AM75)</f>
        <v>48062275.55</v>
      </c>
      <c r="AO75" s="3">
        <f>+'[5]2007'!$O$64</f>
        <v>29489940.57</v>
      </c>
      <c r="AP75" s="11">
        <f>+'[5]2007'!$N$64</f>
        <v>16487138.3</v>
      </c>
      <c r="AQ75" s="3">
        <f>SUM(AO75:AP75)</f>
        <v>45977078.870000005</v>
      </c>
      <c r="AR75" s="11">
        <f>+'[3]ANO_08'!N101</f>
        <v>30783756</v>
      </c>
      <c r="AS75" s="11">
        <f>+'[3]ANO_08'!O101</f>
        <v>16002491.35</v>
      </c>
      <c r="AT75" s="3">
        <f>SUM(AR75:AS75)</f>
        <v>46786247.35</v>
      </c>
      <c r="AU75" s="11">
        <f>+'[4]ANO_09'!N103</f>
        <v>36812950.2</v>
      </c>
      <c r="AV75" s="11">
        <f>+'[4]ANO_09'!O103</f>
        <v>17415438.25</v>
      </c>
      <c r="AW75" s="3">
        <f>SUM(AU75:AV75)</f>
        <v>54228388.45</v>
      </c>
      <c r="AX75" s="11">
        <v>33921658.2</v>
      </c>
      <c r="AY75" s="11">
        <v>14459094.14</v>
      </c>
      <c r="AZ75" s="3">
        <f>SUM(AX75:AY75)</f>
        <v>48380752.34</v>
      </c>
      <c r="BA75" s="11">
        <v>37051056.6</v>
      </c>
      <c r="BB75" s="11">
        <v>14080502.89</v>
      </c>
      <c r="BC75" s="3">
        <f>SUM(BA75:BB75)</f>
        <v>51131559.49</v>
      </c>
      <c r="BD75" s="85">
        <v>40367538.599999994</v>
      </c>
      <c r="BE75" s="85">
        <v>13492194.34</v>
      </c>
      <c r="BF75" s="85">
        <v>53859732.94</v>
      </c>
      <c r="BG75" s="85">
        <v>37110583.2</v>
      </c>
      <c r="BH75" s="85">
        <v>10675210.67</v>
      </c>
      <c r="BI75" s="85">
        <f t="shared" si="70"/>
        <v>47785793.870000005</v>
      </c>
      <c r="BJ75" s="85">
        <v>38258596.2</v>
      </c>
      <c r="BK75" s="85">
        <v>9267459.93</v>
      </c>
      <c r="BL75" s="85">
        <f>+BJ75+BK75</f>
        <v>47526056.13</v>
      </c>
      <c r="BM75" s="85">
        <v>50257458</v>
      </c>
      <c r="BN75" s="85">
        <v>9797194.829999998</v>
      </c>
      <c r="BO75" s="85">
        <v>60054652.83</v>
      </c>
      <c r="BP75" s="85">
        <v>54594396</v>
      </c>
      <c r="BQ75" s="85">
        <v>8772926.379999999</v>
      </c>
      <c r="BR75" s="85">
        <v>63367322.379999995</v>
      </c>
      <c r="BS75" s="85">
        <v>24380394.6</v>
      </c>
      <c r="BT75" s="85">
        <v>3291211.92</v>
      </c>
      <c r="BU75" s="85">
        <v>27671606.520000003</v>
      </c>
      <c r="BV75" s="85">
        <v>0</v>
      </c>
      <c r="BW75" s="85">
        <v>0</v>
      </c>
      <c r="BX75" s="85">
        <v>0</v>
      </c>
      <c r="BY75" s="85">
        <v>0</v>
      </c>
      <c r="BZ75" s="85">
        <v>0</v>
      </c>
      <c r="CA75" s="85">
        <f>+BY75+BZ75</f>
        <v>0</v>
      </c>
      <c r="CB75" s="85">
        <v>0</v>
      </c>
      <c r="CC75" s="85">
        <v>0</v>
      </c>
      <c r="CD75" s="85">
        <f>+CB75+CC75</f>
        <v>0</v>
      </c>
      <c r="CE75" s="85">
        <v>0</v>
      </c>
      <c r="CF75" s="85">
        <v>0</v>
      </c>
      <c r="CG75" s="85">
        <f>+CE75+CF75</f>
        <v>0</v>
      </c>
      <c r="CH75" s="85">
        <v>0</v>
      </c>
      <c r="CI75" s="85">
        <v>0</v>
      </c>
      <c r="CJ75" s="85">
        <f>+CH75+CI75</f>
        <v>0</v>
      </c>
      <c r="CK75" s="85">
        <v>0</v>
      </c>
      <c r="CL75" s="85">
        <v>0</v>
      </c>
      <c r="CM75" s="85">
        <f>+CK75+CL75</f>
        <v>0</v>
      </c>
    </row>
    <row r="76" spans="1:91" ht="15">
      <c r="A76" s="20" t="s">
        <v>143</v>
      </c>
      <c r="B76" s="21">
        <f aca="true" t="shared" si="74" ref="B76:AK76">SUM(B77:B86)</f>
        <v>0</v>
      </c>
      <c r="C76" s="21">
        <f t="shared" si="74"/>
        <v>0</v>
      </c>
      <c r="D76" s="21">
        <f t="shared" si="74"/>
        <v>0</v>
      </c>
      <c r="E76" s="21">
        <f t="shared" si="74"/>
        <v>0</v>
      </c>
      <c r="F76" s="21">
        <f t="shared" si="74"/>
        <v>0</v>
      </c>
      <c r="G76" s="21">
        <f t="shared" si="74"/>
        <v>0</v>
      </c>
      <c r="H76" s="21">
        <f t="shared" si="74"/>
        <v>0</v>
      </c>
      <c r="I76" s="21">
        <f t="shared" si="74"/>
        <v>0</v>
      </c>
      <c r="J76" s="21">
        <f t="shared" si="74"/>
        <v>0</v>
      </c>
      <c r="K76" s="21">
        <f t="shared" si="74"/>
        <v>0</v>
      </c>
      <c r="L76" s="21">
        <f t="shared" si="74"/>
        <v>0</v>
      </c>
      <c r="M76" s="21">
        <f t="shared" si="74"/>
        <v>0</v>
      </c>
      <c r="N76" s="21">
        <f t="shared" si="74"/>
        <v>0</v>
      </c>
      <c r="O76" s="21">
        <f t="shared" si="74"/>
        <v>5156923.75</v>
      </c>
      <c r="P76" s="21">
        <f t="shared" si="74"/>
        <v>5156923.75</v>
      </c>
      <c r="Q76" s="21">
        <f t="shared" si="74"/>
        <v>0</v>
      </c>
      <c r="R76" s="21">
        <f t="shared" si="74"/>
        <v>25483927.88</v>
      </c>
      <c r="S76" s="21">
        <f t="shared" si="74"/>
        <v>25483927.88</v>
      </c>
      <c r="T76" s="21">
        <f t="shared" si="74"/>
        <v>0</v>
      </c>
      <c r="U76" s="21">
        <f t="shared" si="74"/>
        <v>27306424.44</v>
      </c>
      <c r="V76" s="21">
        <f t="shared" si="74"/>
        <v>27306424.44</v>
      </c>
      <c r="W76" s="21">
        <f t="shared" si="74"/>
        <v>0</v>
      </c>
      <c r="X76" s="21">
        <f t="shared" si="74"/>
        <v>36475284.81</v>
      </c>
      <c r="Y76" s="21">
        <f t="shared" si="74"/>
        <v>36475284.81</v>
      </c>
      <c r="Z76" s="21">
        <f t="shared" si="74"/>
        <v>68477814.34</v>
      </c>
      <c r="AA76" s="21">
        <f t="shared" si="74"/>
        <v>48501425.07</v>
      </c>
      <c r="AB76" s="21">
        <f t="shared" si="74"/>
        <v>116979239.41</v>
      </c>
      <c r="AC76" s="21">
        <f t="shared" si="74"/>
        <v>66015172.95</v>
      </c>
      <c r="AD76" s="21">
        <f t="shared" si="74"/>
        <v>39835820.98</v>
      </c>
      <c r="AE76" s="21">
        <f t="shared" si="74"/>
        <v>105850993.92999999</v>
      </c>
      <c r="AF76" s="21">
        <f t="shared" si="74"/>
        <v>69710114.5</v>
      </c>
      <c r="AG76" s="21">
        <f t="shared" si="74"/>
        <v>34954117.230000004</v>
      </c>
      <c r="AH76" s="21">
        <f t="shared" si="74"/>
        <v>104664231.72999999</v>
      </c>
      <c r="AI76" s="21">
        <f t="shared" si="74"/>
        <v>64189077.01</v>
      </c>
      <c r="AJ76" s="21">
        <f t="shared" si="74"/>
        <v>27097065.26</v>
      </c>
      <c r="AK76" s="21">
        <f t="shared" si="74"/>
        <v>91286142.27</v>
      </c>
      <c r="AL76" s="21">
        <f>SUM(AL77:AL86)</f>
        <v>60318292.94</v>
      </c>
      <c r="AM76" s="21">
        <f aca="true" t="shared" si="75" ref="AM76:BR76">SUM(AM77:AM86)</f>
        <v>25266893.25</v>
      </c>
      <c r="AN76" s="21">
        <f t="shared" si="75"/>
        <v>85585186.19</v>
      </c>
      <c r="AO76" s="21">
        <f t="shared" si="75"/>
        <v>59795995.37</v>
      </c>
      <c r="AP76" s="21">
        <f t="shared" si="75"/>
        <v>25621522.939999998</v>
      </c>
      <c r="AQ76" s="21">
        <f t="shared" si="75"/>
        <v>85417518.31</v>
      </c>
      <c r="AR76" s="21">
        <f t="shared" si="75"/>
        <v>67065943.239999995</v>
      </c>
      <c r="AS76" s="21">
        <f t="shared" si="75"/>
        <v>24026905.980000004</v>
      </c>
      <c r="AT76" s="21">
        <f t="shared" si="75"/>
        <v>91092849.22</v>
      </c>
      <c r="AU76" s="21">
        <f t="shared" si="75"/>
        <v>75913097.39</v>
      </c>
      <c r="AV76" s="21">
        <f t="shared" si="75"/>
        <v>24177316.71</v>
      </c>
      <c r="AW76" s="21">
        <f t="shared" si="75"/>
        <v>100090414.10000001</v>
      </c>
      <c r="AX76" s="21">
        <f t="shared" si="75"/>
        <v>77801772.18</v>
      </c>
      <c r="AY76" s="21">
        <f t="shared" si="75"/>
        <v>21545197.65</v>
      </c>
      <c r="AZ76" s="21">
        <f t="shared" si="75"/>
        <v>99346969.83000001</v>
      </c>
      <c r="BA76" s="21">
        <f t="shared" si="75"/>
        <v>44958263.08</v>
      </c>
      <c r="BB76" s="21">
        <f t="shared" si="75"/>
        <v>20796284.2</v>
      </c>
      <c r="BC76" s="21">
        <f t="shared" si="75"/>
        <v>65754547.27999999</v>
      </c>
      <c r="BD76" s="21">
        <f t="shared" si="75"/>
        <v>48455243.120000005</v>
      </c>
      <c r="BE76" s="21">
        <f t="shared" si="75"/>
        <v>39180115.33</v>
      </c>
      <c r="BF76" s="21">
        <f t="shared" si="75"/>
        <v>87635358.45</v>
      </c>
      <c r="BG76" s="21">
        <f t="shared" si="75"/>
        <v>128408862.09</v>
      </c>
      <c r="BH76" s="21">
        <f t="shared" si="75"/>
        <v>36124487.71</v>
      </c>
      <c r="BI76" s="21">
        <f t="shared" si="75"/>
        <v>164533349.8</v>
      </c>
      <c r="BJ76" s="21">
        <f t="shared" si="75"/>
        <v>11037802.629999999</v>
      </c>
      <c r="BK76" s="21">
        <f t="shared" si="75"/>
        <v>36042227.449999996</v>
      </c>
      <c r="BL76" s="21">
        <f t="shared" si="75"/>
        <v>47080030.080000006</v>
      </c>
      <c r="BM76" s="21">
        <f t="shared" si="75"/>
        <v>18071367.18</v>
      </c>
      <c r="BN76" s="21">
        <f t="shared" si="75"/>
        <v>64468024.55</v>
      </c>
      <c r="BO76" s="21">
        <f t="shared" si="75"/>
        <v>82539391.73</v>
      </c>
      <c r="BP76" s="21">
        <f t="shared" si="75"/>
        <v>125306945.62</v>
      </c>
      <c r="BQ76" s="21">
        <f t="shared" si="75"/>
        <v>107081627.13</v>
      </c>
      <c r="BR76" s="21">
        <f t="shared" si="75"/>
        <v>232388572.74999994</v>
      </c>
      <c r="BS76" s="21">
        <v>41122557.49</v>
      </c>
      <c r="BT76" s="21">
        <v>44842693.2986</v>
      </c>
      <c r="BU76" s="21">
        <v>85965250.7886</v>
      </c>
      <c r="BV76" s="21">
        <v>0</v>
      </c>
      <c r="BW76" s="21">
        <v>0</v>
      </c>
      <c r="BX76" s="21">
        <v>0</v>
      </c>
      <c r="BY76" s="21">
        <f>SUM(BY77:BY86)</f>
        <v>0</v>
      </c>
      <c r="BZ76" s="21">
        <f>SUM(BZ77:BZ86)</f>
        <v>0</v>
      </c>
      <c r="CA76" s="21">
        <f>+BY76+BZ76</f>
        <v>0</v>
      </c>
      <c r="CB76" s="21">
        <f>SUM(CB77:CB86)</f>
        <v>505858.88</v>
      </c>
      <c r="CC76" s="21">
        <f>SUM(CC77:CC86)</f>
        <v>0</v>
      </c>
      <c r="CD76" s="21">
        <f>+CB76+CC76</f>
        <v>505858.88</v>
      </c>
      <c r="CE76" s="21">
        <f>SUM(CE77:CE86)</f>
        <v>0</v>
      </c>
      <c r="CF76" s="21">
        <f>SUM(CF77:CF86)</f>
        <v>0</v>
      </c>
      <c r="CG76" s="21">
        <f>+CE76+CF76</f>
        <v>0</v>
      </c>
      <c r="CH76" s="21">
        <f>SUM(CH77:CH86)</f>
        <v>0</v>
      </c>
      <c r="CI76" s="21">
        <f>SUM(CI77:CI86)</f>
        <v>0</v>
      </c>
      <c r="CJ76" s="21">
        <f>+CH76+CI76</f>
        <v>0</v>
      </c>
      <c r="CK76" s="21">
        <f>SUM(CK77:CK86)</f>
        <v>0</v>
      </c>
      <c r="CL76" s="21">
        <f>SUM(CL77:CL86)</f>
        <v>0</v>
      </c>
      <c r="CM76" s="21">
        <f>+CK76+CL76</f>
        <v>0</v>
      </c>
    </row>
    <row r="77" spans="1:91" ht="15">
      <c r="A77" s="8" t="s">
        <v>191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5156923.75</v>
      </c>
      <c r="P77" s="3">
        <f>SUM(N77:O77)</f>
        <v>5156923.75</v>
      </c>
      <c r="Q77" s="3"/>
      <c r="R77" s="3">
        <v>25483927.88</v>
      </c>
      <c r="S77" s="3">
        <f>SUM(Q77:R77)</f>
        <v>25483927.88</v>
      </c>
      <c r="T77" s="3"/>
      <c r="U77" s="3">
        <v>25264157.94</v>
      </c>
      <c r="V77" s="3">
        <f>SUM(T77:U77)</f>
        <v>25264157.94</v>
      </c>
      <c r="W77" s="3"/>
      <c r="X77" s="3">
        <v>33016867.3</v>
      </c>
      <c r="Y77" s="3">
        <f>SUM(W77:X77)</f>
        <v>33016867.3</v>
      </c>
      <c r="Z77" s="3">
        <v>68477814.34</v>
      </c>
      <c r="AA77" s="3">
        <f>35658101.61+6292603.03</f>
        <v>41950704.64</v>
      </c>
      <c r="AB77" s="3">
        <f>SUM(Z77:AA77)</f>
        <v>110428518.98</v>
      </c>
      <c r="AC77" s="3">
        <v>64130742.78</v>
      </c>
      <c r="AD77" s="3">
        <f>29545177.47+2687588.51</f>
        <v>32232765.979999997</v>
      </c>
      <c r="AE77" s="3">
        <f>SUM(AC77:AD77)</f>
        <v>96363508.75999999</v>
      </c>
      <c r="AF77" s="3">
        <v>63204401.3</v>
      </c>
      <c r="AG77" s="3">
        <v>25653450.39</v>
      </c>
      <c r="AH77" s="3">
        <f>SUM(AF77:AG77)</f>
        <v>88857851.69</v>
      </c>
      <c r="AI77" s="3">
        <v>53741651.15</v>
      </c>
      <c r="AJ77" s="3">
        <v>18366094.1</v>
      </c>
      <c r="AK77" s="3">
        <f>SUM(AI77:AJ77)</f>
        <v>72107745.25</v>
      </c>
      <c r="AL77" s="3">
        <f>+'[5]2006'!$O$65</f>
        <v>47687815.47</v>
      </c>
      <c r="AM77" s="3">
        <f>+'[5]2006'!$N$65</f>
        <v>13433833.620000001</v>
      </c>
      <c r="AN77" s="3">
        <f>SUM(AL77:AM77)</f>
        <v>61121649.09</v>
      </c>
      <c r="AO77" s="3">
        <f>+'[5]2007'!$O$65</f>
        <v>42886879.05</v>
      </c>
      <c r="AP77" s="11">
        <f>+'[5]2007'!$N$65</f>
        <v>9589596.6</v>
      </c>
      <c r="AQ77" s="3">
        <f>SUM(AO77:AP77)</f>
        <v>52476475.65</v>
      </c>
      <c r="AR77" s="11">
        <f>+'[3]ANO_08'!N96</f>
        <v>43984553.349999994</v>
      </c>
      <c r="AS77" s="11">
        <f>+'[3]ANO_08'!O96</f>
        <v>7105879.42</v>
      </c>
      <c r="AT77" s="3">
        <f>SUM(AR77:AS77)</f>
        <v>51090432.769999996</v>
      </c>
      <c r="AU77" s="11">
        <f>+'[4]ANO_09'!N98</f>
        <v>43374734.74</v>
      </c>
      <c r="AV77" s="11">
        <f>+'[4]ANO_09'!O98</f>
        <v>4606279.91</v>
      </c>
      <c r="AW77" s="3">
        <f>SUM(AU77:AV77)</f>
        <v>47981014.650000006</v>
      </c>
      <c r="AX77" s="11">
        <v>37919632.46</v>
      </c>
      <c r="AY77" s="11">
        <v>1739315.87</v>
      </c>
      <c r="AZ77" s="3">
        <f>SUM(AX77:AY77)</f>
        <v>39658948.33</v>
      </c>
      <c r="BA77" s="11">
        <v>657136.95</v>
      </c>
      <c r="BB77" s="11">
        <v>20108.35</v>
      </c>
      <c r="BC77" s="3">
        <f aca="true" t="shared" si="76" ref="BC77:BC82">SUM(BA77:BB77)</f>
        <v>677245.2999999999</v>
      </c>
      <c r="BD77" s="83"/>
      <c r="BE77" s="83"/>
      <c r="BF77" s="83"/>
      <c r="BG77" s="83"/>
      <c r="BH77" s="94"/>
      <c r="BI77" s="83"/>
      <c r="BJ77" s="83"/>
      <c r="BK77" s="94"/>
      <c r="BL77" s="85">
        <f t="shared" si="37"/>
        <v>0</v>
      </c>
      <c r="BM77" s="83"/>
      <c r="BN77" s="94"/>
      <c r="BO77" s="85"/>
      <c r="BP77" s="83"/>
      <c r="BQ77" s="94"/>
      <c r="BR77" s="85"/>
      <c r="BS77" s="83"/>
      <c r="BT77" s="94"/>
      <c r="BU77" s="85"/>
      <c r="BV77" s="83"/>
      <c r="BW77" s="94"/>
      <c r="BX77" s="85"/>
      <c r="BY77" s="85">
        <v>0</v>
      </c>
      <c r="BZ77" s="85">
        <v>0</v>
      </c>
      <c r="CA77" s="85">
        <f>+BY77+BZ77</f>
        <v>0</v>
      </c>
      <c r="CB77" s="85">
        <v>0</v>
      </c>
      <c r="CC77" s="85">
        <v>0</v>
      </c>
      <c r="CD77" s="85">
        <f>+CB77+CC77</f>
        <v>0</v>
      </c>
      <c r="CE77" s="85">
        <v>0</v>
      </c>
      <c r="CF77" s="85">
        <v>0</v>
      </c>
      <c r="CG77" s="85">
        <f>+CE77+CF77</f>
        <v>0</v>
      </c>
      <c r="CH77" s="85">
        <v>0</v>
      </c>
      <c r="CI77" s="85">
        <v>0</v>
      </c>
      <c r="CJ77" s="85">
        <f>+CH77+CI77</f>
        <v>0</v>
      </c>
      <c r="CK77" s="85">
        <v>0</v>
      </c>
      <c r="CL77" s="85">
        <v>0</v>
      </c>
      <c r="CM77" s="85">
        <f>+CK77+CL77</f>
        <v>0</v>
      </c>
    </row>
    <row r="78" spans="1:91" ht="15">
      <c r="A78" s="8" t="s">
        <v>192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>
        <v>2042266.5</v>
      </c>
      <c r="V78" s="3">
        <f>SUM(T78:U78)</f>
        <v>2042266.5</v>
      </c>
      <c r="W78" s="3"/>
      <c r="X78" s="3">
        <v>3458417.51</v>
      </c>
      <c r="Y78" s="3">
        <f>SUM(W78:X78)</f>
        <v>3458417.51</v>
      </c>
      <c r="Z78" s="3"/>
      <c r="AA78" s="3">
        <v>6550720.43</v>
      </c>
      <c r="AB78" s="3">
        <f>SUM(Z78:AA78)</f>
        <v>6550720.43</v>
      </c>
      <c r="AC78" s="3">
        <v>1884430.17</v>
      </c>
      <c r="AD78" s="3">
        <f>6629523.01+973531.99</f>
        <v>7603055</v>
      </c>
      <c r="AE78" s="3">
        <f>SUM(AC78:AD78)</f>
        <v>9487485.17</v>
      </c>
      <c r="AF78" s="3">
        <v>6505713.2</v>
      </c>
      <c r="AG78" s="3">
        <f>8381011.95+919654.89</f>
        <v>9300666.84</v>
      </c>
      <c r="AH78" s="3">
        <f>SUM(AF78:AG78)</f>
        <v>15806380.04</v>
      </c>
      <c r="AI78" s="3">
        <v>10447425.86</v>
      </c>
      <c r="AJ78" s="3">
        <f>8223165.72+507805.44</f>
        <v>8730971.16</v>
      </c>
      <c r="AK78" s="3">
        <f>SUM(AI78:AJ78)</f>
        <v>19178397.02</v>
      </c>
      <c r="AL78" s="3">
        <f>+'[5]2006'!$O$66</f>
        <v>12630477.469999999</v>
      </c>
      <c r="AM78" s="3">
        <f>+'[5]2006'!$N$66</f>
        <v>11833059.629999999</v>
      </c>
      <c r="AN78" s="3">
        <f>SUM(AL78:AM78)</f>
        <v>24463537.099999998</v>
      </c>
      <c r="AO78" s="3">
        <f>+'[5]2007'!$O$66</f>
        <v>16909116.32</v>
      </c>
      <c r="AP78" s="11">
        <f>+'[5]2007'!$N$66</f>
        <v>16031926.34</v>
      </c>
      <c r="AQ78" s="3">
        <f>SUM(AO78:AP78)</f>
        <v>32941042.66</v>
      </c>
      <c r="AR78" s="11">
        <f>+'[3]ANO_08'!N97</f>
        <v>23081389.89</v>
      </c>
      <c r="AS78" s="11">
        <f>+'[3]ANO_08'!O97</f>
        <v>16921026.560000002</v>
      </c>
      <c r="AT78" s="3">
        <f>SUM(AR78:AS78)</f>
        <v>40002416.45</v>
      </c>
      <c r="AU78" s="11">
        <f>+'[4]ANO_09'!N99</f>
        <v>32538362.65</v>
      </c>
      <c r="AV78" s="11">
        <f>+'[4]ANO_09'!O99</f>
        <v>19571036.8</v>
      </c>
      <c r="AW78" s="3">
        <f>SUM(AU78:AV78)</f>
        <v>52109399.45</v>
      </c>
      <c r="AX78" s="11">
        <v>39882139.72</v>
      </c>
      <c r="AY78" s="11">
        <v>14924438.04</v>
      </c>
      <c r="AZ78" s="3">
        <f>SUM(AX78:AY78)</f>
        <v>54806577.76</v>
      </c>
      <c r="BA78" s="23">
        <v>44301126.129999995</v>
      </c>
      <c r="BB78" s="23">
        <v>12620203.44</v>
      </c>
      <c r="BC78" s="3">
        <f t="shared" si="76"/>
        <v>56921329.56999999</v>
      </c>
      <c r="BD78" s="85">
        <v>48455243.120000005</v>
      </c>
      <c r="BE78" s="85">
        <v>16190195.01</v>
      </c>
      <c r="BF78" s="85">
        <v>64645438.13</v>
      </c>
      <c r="BG78" s="85">
        <v>128408862.09</v>
      </c>
      <c r="BH78" s="85">
        <v>9842455.209999999</v>
      </c>
      <c r="BI78" s="85">
        <f aca="true" t="shared" si="77" ref="BI78:BI91">+BH78+BG78</f>
        <v>138251317.3</v>
      </c>
      <c r="BJ78" s="85">
        <v>10116040</v>
      </c>
      <c r="BK78" s="85">
        <v>6659155.93</v>
      </c>
      <c r="BL78" s="85">
        <f t="shared" si="37"/>
        <v>16775195.93</v>
      </c>
      <c r="BM78" s="85">
        <v>15237420</v>
      </c>
      <c r="BN78" s="85">
        <v>14250027.93</v>
      </c>
      <c r="BO78" s="85">
        <v>29487447.93</v>
      </c>
      <c r="BP78" s="85">
        <v>15373380</v>
      </c>
      <c r="BQ78" s="85">
        <v>26739706.56</v>
      </c>
      <c r="BR78" s="85">
        <v>42113086.56</v>
      </c>
      <c r="BS78" s="85">
        <v>6934400</v>
      </c>
      <c r="BT78" s="85">
        <v>6772027.55</v>
      </c>
      <c r="BU78" s="85">
        <v>13706427.55</v>
      </c>
      <c r="BV78" s="85">
        <v>0</v>
      </c>
      <c r="BW78" s="85">
        <v>0</v>
      </c>
      <c r="BX78" s="85">
        <v>0</v>
      </c>
      <c r="BY78" s="85">
        <v>0</v>
      </c>
      <c r="BZ78" s="85">
        <v>0</v>
      </c>
      <c r="CA78" s="85">
        <f aca="true" t="shared" si="78" ref="CA78:CA86">+BY78+BZ78</f>
        <v>0</v>
      </c>
      <c r="CB78" s="85">
        <v>0</v>
      </c>
      <c r="CC78" s="85">
        <v>0</v>
      </c>
      <c r="CD78" s="85">
        <f aca="true" t="shared" si="79" ref="CD78:CD94">+CB78+CC78</f>
        <v>0</v>
      </c>
      <c r="CE78" s="85">
        <v>0</v>
      </c>
      <c r="CF78" s="85">
        <v>0</v>
      </c>
      <c r="CG78" s="85">
        <f aca="true" t="shared" si="80" ref="CG78:CG94">+CE78+CF78</f>
        <v>0</v>
      </c>
      <c r="CH78" s="85">
        <v>0</v>
      </c>
      <c r="CI78" s="85">
        <v>0</v>
      </c>
      <c r="CJ78" s="85">
        <f aca="true" t="shared" si="81" ref="CJ78:CJ93">+CH78+CI78</f>
        <v>0</v>
      </c>
      <c r="CK78" s="85">
        <v>0</v>
      </c>
      <c r="CL78" s="85">
        <v>0</v>
      </c>
      <c r="CM78" s="85">
        <f aca="true" t="shared" si="82" ref="CM78:CM93">+CK78+CL78</f>
        <v>0</v>
      </c>
    </row>
    <row r="79" spans="1:91" ht="15">
      <c r="A79" s="7" t="s">
        <v>193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11"/>
      <c r="AQ79" s="3"/>
      <c r="AR79" s="11"/>
      <c r="AS79" s="11"/>
      <c r="AT79" s="3"/>
      <c r="AU79" s="11"/>
      <c r="AV79" s="11"/>
      <c r="AW79" s="3"/>
      <c r="AX79" s="11">
        <v>0</v>
      </c>
      <c r="AY79" s="11">
        <v>185670.15</v>
      </c>
      <c r="AZ79" s="3">
        <f>SUM(AX79:AY79)</f>
        <v>185670.15</v>
      </c>
      <c r="BA79" s="11">
        <v>0</v>
      </c>
      <c r="BB79" s="11">
        <v>39145.01</v>
      </c>
      <c r="BC79" s="3">
        <f t="shared" si="76"/>
        <v>39145.01</v>
      </c>
      <c r="BD79" s="85"/>
      <c r="BE79" s="85">
        <v>225451.5</v>
      </c>
      <c r="BF79" s="85">
        <v>225451.5</v>
      </c>
      <c r="BG79" s="85">
        <v>0</v>
      </c>
      <c r="BH79" s="85">
        <v>803578.45</v>
      </c>
      <c r="BI79" s="85">
        <f t="shared" si="77"/>
        <v>803578.45</v>
      </c>
      <c r="BJ79" s="85">
        <v>6213.11</v>
      </c>
      <c r="BK79" s="85">
        <v>262877.56</v>
      </c>
      <c r="BL79" s="85">
        <f t="shared" si="37"/>
        <v>269090.67</v>
      </c>
      <c r="BM79" s="85">
        <v>530325.38</v>
      </c>
      <c r="BN79" s="85">
        <v>576051.26</v>
      </c>
      <c r="BO79" s="85">
        <v>1106376.6400000001</v>
      </c>
      <c r="BP79" s="85">
        <v>2011794.69</v>
      </c>
      <c r="BQ79" s="85">
        <v>1173626.77</v>
      </c>
      <c r="BR79" s="85">
        <v>3185421.46</v>
      </c>
      <c r="BS79" s="85">
        <v>1568907.31</v>
      </c>
      <c r="BT79" s="85">
        <v>920197.4099999999</v>
      </c>
      <c r="BU79" s="85">
        <v>2489104.7199999997</v>
      </c>
      <c r="BV79" s="85">
        <v>0</v>
      </c>
      <c r="BW79" s="85">
        <v>0</v>
      </c>
      <c r="BX79" s="85">
        <v>0</v>
      </c>
      <c r="BY79" s="85">
        <v>0</v>
      </c>
      <c r="BZ79" s="85">
        <v>0</v>
      </c>
      <c r="CA79" s="85">
        <f t="shared" si="78"/>
        <v>0</v>
      </c>
      <c r="CB79" s="85">
        <v>505858.88</v>
      </c>
      <c r="CC79" s="85">
        <v>0</v>
      </c>
      <c r="CD79" s="85">
        <f t="shared" si="79"/>
        <v>505858.88</v>
      </c>
      <c r="CE79" s="85">
        <v>0</v>
      </c>
      <c r="CF79" s="85">
        <v>0</v>
      </c>
      <c r="CG79" s="85">
        <f t="shared" si="80"/>
        <v>0</v>
      </c>
      <c r="CH79" s="85">
        <v>0</v>
      </c>
      <c r="CI79" s="85">
        <v>0</v>
      </c>
      <c r="CJ79" s="85">
        <f t="shared" si="81"/>
        <v>0</v>
      </c>
      <c r="CK79" s="85">
        <v>0</v>
      </c>
      <c r="CL79" s="85">
        <v>0</v>
      </c>
      <c r="CM79" s="85">
        <f t="shared" si="82"/>
        <v>0</v>
      </c>
    </row>
    <row r="80" spans="1:91" ht="15">
      <c r="A80" s="7" t="s">
        <v>194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11"/>
      <c r="AQ80" s="3"/>
      <c r="AR80" s="11"/>
      <c r="AS80" s="11"/>
      <c r="AT80" s="3"/>
      <c r="AU80" s="11"/>
      <c r="AV80" s="11"/>
      <c r="AW80" s="3"/>
      <c r="AX80" s="11">
        <v>0</v>
      </c>
      <c r="AY80" s="11">
        <v>4695773.59</v>
      </c>
      <c r="AZ80" s="3">
        <f>SUM(AX80:AY80)</f>
        <v>4695773.59</v>
      </c>
      <c r="BA80" s="11">
        <v>0</v>
      </c>
      <c r="BB80" s="11">
        <v>5980870.890000001</v>
      </c>
      <c r="BC80" s="3">
        <f t="shared" si="76"/>
        <v>5980870.890000001</v>
      </c>
      <c r="BD80" s="85"/>
      <c r="BE80" s="85">
        <v>9038064.629999999</v>
      </c>
      <c r="BF80" s="85">
        <v>9038064.629999999</v>
      </c>
      <c r="BG80" s="85">
        <v>0</v>
      </c>
      <c r="BH80" s="85">
        <v>7975917.08</v>
      </c>
      <c r="BI80" s="85">
        <f t="shared" si="77"/>
        <v>7975917.08</v>
      </c>
      <c r="BJ80" s="85">
        <v>0</v>
      </c>
      <c r="BK80" s="85">
        <v>6887338.48</v>
      </c>
      <c r="BL80" s="85">
        <f t="shared" si="37"/>
        <v>6887338.48</v>
      </c>
      <c r="BM80" s="85">
        <v>0</v>
      </c>
      <c r="BN80" s="85">
        <v>11692671.29</v>
      </c>
      <c r="BO80" s="85">
        <v>11692671.29</v>
      </c>
      <c r="BP80" s="85">
        <v>72188500.97</v>
      </c>
      <c r="BQ80" s="85">
        <v>18875791.79</v>
      </c>
      <c r="BR80" s="85">
        <v>91064292.75999999</v>
      </c>
      <c r="BS80" s="85">
        <v>32619250.18</v>
      </c>
      <c r="BT80" s="85">
        <v>13027836.41</v>
      </c>
      <c r="BU80" s="85">
        <v>45647086.59</v>
      </c>
      <c r="BV80" s="85">
        <v>0</v>
      </c>
      <c r="BW80" s="85">
        <v>0</v>
      </c>
      <c r="BX80" s="85">
        <v>0</v>
      </c>
      <c r="BY80" s="85">
        <v>0</v>
      </c>
      <c r="BZ80" s="85">
        <v>0</v>
      </c>
      <c r="CA80" s="85">
        <f t="shared" si="78"/>
        <v>0</v>
      </c>
      <c r="CB80" s="85">
        <v>0</v>
      </c>
      <c r="CC80" s="85">
        <v>0</v>
      </c>
      <c r="CD80" s="85">
        <f t="shared" si="79"/>
        <v>0</v>
      </c>
      <c r="CE80" s="85">
        <v>0</v>
      </c>
      <c r="CF80" s="85">
        <v>0</v>
      </c>
      <c r="CG80" s="85">
        <f t="shared" si="80"/>
        <v>0</v>
      </c>
      <c r="CH80" s="85">
        <v>0</v>
      </c>
      <c r="CI80" s="85">
        <v>0</v>
      </c>
      <c r="CJ80" s="85">
        <f t="shared" si="81"/>
        <v>0</v>
      </c>
      <c r="CK80" s="85">
        <v>0</v>
      </c>
      <c r="CL80" s="85">
        <v>0</v>
      </c>
      <c r="CM80" s="85">
        <f t="shared" si="82"/>
        <v>0</v>
      </c>
    </row>
    <row r="81" spans="1:91" ht="15">
      <c r="A81" s="7" t="s">
        <v>195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11"/>
      <c r="AQ81" s="3"/>
      <c r="AR81" s="11"/>
      <c r="AS81" s="11"/>
      <c r="AT81" s="3"/>
      <c r="AU81" s="11"/>
      <c r="AV81" s="11"/>
      <c r="AW81" s="3"/>
      <c r="AX81" s="11"/>
      <c r="AY81" s="11"/>
      <c r="AZ81" s="3"/>
      <c r="BA81" s="11">
        <v>0</v>
      </c>
      <c r="BB81" s="11">
        <v>78465.26</v>
      </c>
      <c r="BC81" s="3">
        <f t="shared" si="76"/>
        <v>78465.26</v>
      </c>
      <c r="BD81" s="85"/>
      <c r="BE81" s="85">
        <v>3005.14</v>
      </c>
      <c r="BF81" s="85">
        <v>3005.14</v>
      </c>
      <c r="BG81" s="85">
        <v>0</v>
      </c>
      <c r="BH81" s="85">
        <v>26729.34</v>
      </c>
      <c r="BI81" s="85">
        <f t="shared" si="77"/>
        <v>26729.34</v>
      </c>
      <c r="BJ81" s="85">
        <v>915549.52</v>
      </c>
      <c r="BK81" s="85">
        <v>83552.8</v>
      </c>
      <c r="BL81" s="85">
        <f t="shared" si="37"/>
        <v>999102.3200000001</v>
      </c>
      <c r="BM81" s="85">
        <v>2303621.8000000003</v>
      </c>
      <c r="BN81" s="85">
        <v>233203.31</v>
      </c>
      <c r="BO81" s="85">
        <v>2536825.1100000003</v>
      </c>
      <c r="BP81" s="85">
        <v>2499566.92</v>
      </c>
      <c r="BQ81" s="85">
        <v>426134.37</v>
      </c>
      <c r="BR81" s="85">
        <v>2925701.29</v>
      </c>
      <c r="BS81" s="85">
        <v>0</v>
      </c>
      <c r="BT81" s="85">
        <v>0</v>
      </c>
      <c r="BU81" s="85">
        <v>0</v>
      </c>
      <c r="BV81" s="85">
        <v>0</v>
      </c>
      <c r="BW81" s="85">
        <v>0</v>
      </c>
      <c r="BX81" s="85">
        <v>0</v>
      </c>
      <c r="BY81" s="85">
        <v>0</v>
      </c>
      <c r="BZ81" s="85">
        <v>0</v>
      </c>
      <c r="CA81" s="85">
        <f t="shared" si="78"/>
        <v>0</v>
      </c>
      <c r="CB81" s="85">
        <v>0</v>
      </c>
      <c r="CC81" s="85">
        <v>0</v>
      </c>
      <c r="CD81" s="85">
        <f t="shared" si="79"/>
        <v>0</v>
      </c>
      <c r="CE81" s="85">
        <v>0</v>
      </c>
      <c r="CF81" s="85">
        <v>0</v>
      </c>
      <c r="CG81" s="85">
        <f t="shared" si="80"/>
        <v>0</v>
      </c>
      <c r="CH81" s="85">
        <v>0</v>
      </c>
      <c r="CI81" s="85">
        <v>0</v>
      </c>
      <c r="CJ81" s="85">
        <f t="shared" si="81"/>
        <v>0</v>
      </c>
      <c r="CK81" s="85">
        <v>0</v>
      </c>
      <c r="CL81" s="85">
        <v>0</v>
      </c>
      <c r="CM81" s="85">
        <f t="shared" si="82"/>
        <v>0</v>
      </c>
    </row>
    <row r="82" spans="1:91" ht="15">
      <c r="A82" s="7" t="s">
        <v>196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11"/>
      <c r="AQ82" s="3"/>
      <c r="AR82" s="11"/>
      <c r="AS82" s="11"/>
      <c r="AT82" s="3"/>
      <c r="AU82" s="11"/>
      <c r="AV82" s="11"/>
      <c r="AW82" s="3"/>
      <c r="AX82" s="11"/>
      <c r="AY82" s="11"/>
      <c r="AZ82" s="3"/>
      <c r="BA82" s="11">
        <v>0</v>
      </c>
      <c r="BB82" s="11">
        <v>2057491.25</v>
      </c>
      <c r="BC82" s="3">
        <f t="shared" si="76"/>
        <v>2057491.25</v>
      </c>
      <c r="BD82" s="85"/>
      <c r="BE82" s="85">
        <v>12154099.05</v>
      </c>
      <c r="BF82" s="85">
        <f>+BD82+BE82</f>
        <v>12154099.05</v>
      </c>
      <c r="BG82" s="85">
        <v>0</v>
      </c>
      <c r="BH82" s="85">
        <v>9990297.18</v>
      </c>
      <c r="BI82" s="85">
        <f t="shared" si="77"/>
        <v>9990297.18</v>
      </c>
      <c r="BJ82" s="85">
        <v>0</v>
      </c>
      <c r="BK82" s="85">
        <v>9510875.89</v>
      </c>
      <c r="BL82" s="85">
        <f t="shared" si="37"/>
        <v>9510875.89</v>
      </c>
      <c r="BM82" s="85">
        <v>0</v>
      </c>
      <c r="BN82" s="85">
        <v>14946301.39</v>
      </c>
      <c r="BO82" s="85">
        <v>14946301.39</v>
      </c>
      <c r="BP82" s="85">
        <v>33233703.04</v>
      </c>
      <c r="BQ82" s="85">
        <v>22549596.169999998</v>
      </c>
      <c r="BR82" s="85">
        <v>55783299.20999999</v>
      </c>
      <c r="BS82" s="85">
        <v>0</v>
      </c>
      <c r="BT82" s="85">
        <v>0</v>
      </c>
      <c r="BU82" s="85">
        <v>0</v>
      </c>
      <c r="BV82" s="85">
        <v>0</v>
      </c>
      <c r="BW82" s="85">
        <v>0</v>
      </c>
      <c r="BX82" s="85">
        <v>0</v>
      </c>
      <c r="BY82" s="85">
        <v>0</v>
      </c>
      <c r="BZ82" s="85">
        <v>0</v>
      </c>
      <c r="CA82" s="85">
        <f t="shared" si="78"/>
        <v>0</v>
      </c>
      <c r="CB82" s="85">
        <v>0</v>
      </c>
      <c r="CC82" s="85">
        <v>0</v>
      </c>
      <c r="CD82" s="85">
        <f t="shared" si="79"/>
        <v>0</v>
      </c>
      <c r="CE82" s="85">
        <v>0</v>
      </c>
      <c r="CF82" s="85">
        <v>0</v>
      </c>
      <c r="CG82" s="85">
        <f t="shared" si="80"/>
        <v>0</v>
      </c>
      <c r="CH82" s="85">
        <v>0</v>
      </c>
      <c r="CI82" s="85">
        <v>0</v>
      </c>
      <c r="CJ82" s="85">
        <f t="shared" si="81"/>
        <v>0</v>
      </c>
      <c r="CK82" s="85">
        <v>0</v>
      </c>
      <c r="CL82" s="85">
        <v>0</v>
      </c>
      <c r="CM82" s="85">
        <f t="shared" si="82"/>
        <v>0</v>
      </c>
    </row>
    <row r="83" spans="1:91" ht="15">
      <c r="A83" s="7" t="s">
        <v>197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11"/>
      <c r="AQ83" s="3"/>
      <c r="AR83" s="11"/>
      <c r="AS83" s="11"/>
      <c r="AT83" s="3"/>
      <c r="AU83" s="11"/>
      <c r="AV83" s="11"/>
      <c r="AW83" s="3"/>
      <c r="AX83" s="11"/>
      <c r="AY83" s="11"/>
      <c r="AZ83" s="3"/>
      <c r="BA83" s="11"/>
      <c r="BB83" s="11"/>
      <c r="BC83" s="3"/>
      <c r="BD83" s="85"/>
      <c r="BE83" s="85"/>
      <c r="BF83" s="85"/>
      <c r="BG83" s="85"/>
      <c r="BH83" s="85"/>
      <c r="BI83" s="85"/>
      <c r="BJ83" s="85">
        <v>0</v>
      </c>
      <c r="BK83" s="85">
        <v>4257.25</v>
      </c>
      <c r="BL83" s="85">
        <f>+BJ83+BK83</f>
        <v>4257.25</v>
      </c>
      <c r="BM83" s="85">
        <v>0</v>
      </c>
      <c r="BN83" s="85">
        <v>160428.82</v>
      </c>
      <c r="BO83" s="85">
        <v>160428.82</v>
      </c>
      <c r="BP83" s="85">
        <v>0</v>
      </c>
      <c r="BQ83" s="85">
        <v>495944.16000000003</v>
      </c>
      <c r="BR83" s="85">
        <v>495944.16000000003</v>
      </c>
      <c r="BS83" s="85">
        <v>0</v>
      </c>
      <c r="BT83" s="85">
        <v>429258.8</v>
      </c>
      <c r="BU83" s="85">
        <v>429258.8</v>
      </c>
      <c r="BV83" s="85">
        <v>0</v>
      </c>
      <c r="BW83" s="85">
        <v>0</v>
      </c>
      <c r="BX83" s="85">
        <v>0</v>
      </c>
      <c r="BY83" s="85">
        <v>0</v>
      </c>
      <c r="BZ83" s="85">
        <v>0</v>
      </c>
      <c r="CA83" s="85">
        <f t="shared" si="78"/>
        <v>0</v>
      </c>
      <c r="CB83" s="85">
        <v>0</v>
      </c>
      <c r="CC83" s="85">
        <v>0</v>
      </c>
      <c r="CD83" s="85">
        <f t="shared" si="79"/>
        <v>0</v>
      </c>
      <c r="CE83" s="85">
        <v>0</v>
      </c>
      <c r="CF83" s="85">
        <v>0</v>
      </c>
      <c r="CG83" s="85">
        <f t="shared" si="80"/>
        <v>0</v>
      </c>
      <c r="CH83" s="85">
        <v>0</v>
      </c>
      <c r="CI83" s="85">
        <v>0</v>
      </c>
      <c r="CJ83" s="85">
        <f t="shared" si="81"/>
        <v>0</v>
      </c>
      <c r="CK83" s="85">
        <v>0</v>
      </c>
      <c r="CL83" s="85">
        <v>0</v>
      </c>
      <c r="CM83" s="85">
        <f t="shared" si="82"/>
        <v>0</v>
      </c>
    </row>
    <row r="84" spans="1:91" ht="15">
      <c r="A84" s="7" t="s">
        <v>198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11"/>
      <c r="AQ84" s="3"/>
      <c r="AR84" s="11"/>
      <c r="AS84" s="11"/>
      <c r="AT84" s="3"/>
      <c r="AU84" s="11"/>
      <c r="AV84" s="11"/>
      <c r="AW84" s="3"/>
      <c r="AX84" s="11"/>
      <c r="AY84" s="11"/>
      <c r="AZ84" s="3"/>
      <c r="BA84" s="11"/>
      <c r="BB84" s="11"/>
      <c r="BC84" s="3"/>
      <c r="BD84" s="85"/>
      <c r="BE84" s="85"/>
      <c r="BF84" s="85"/>
      <c r="BG84" s="85">
        <v>0</v>
      </c>
      <c r="BH84" s="85">
        <v>2921250</v>
      </c>
      <c r="BI84" s="85">
        <f t="shared" si="77"/>
        <v>2921250</v>
      </c>
      <c r="BJ84" s="85">
        <v>0</v>
      </c>
      <c r="BK84" s="85">
        <v>6385503</v>
      </c>
      <c r="BL84" s="85">
        <f>+BJ84+BK84</f>
        <v>6385503</v>
      </c>
      <c r="BM84" s="85">
        <v>0</v>
      </c>
      <c r="BN84" s="85">
        <v>14084951.719999999</v>
      </c>
      <c r="BO84" s="85">
        <v>14084951.719999999</v>
      </c>
      <c r="BP84" s="85">
        <v>0</v>
      </c>
      <c r="BQ84" s="85">
        <v>22903129.07</v>
      </c>
      <c r="BR84" s="85">
        <v>22903129.07</v>
      </c>
      <c r="BS84" s="85">
        <v>0</v>
      </c>
      <c r="BT84" s="85">
        <v>14809621.33</v>
      </c>
      <c r="BU84" s="85">
        <v>14809621.33</v>
      </c>
      <c r="BV84" s="85">
        <v>0</v>
      </c>
      <c r="BW84" s="85">
        <v>0</v>
      </c>
      <c r="BX84" s="85">
        <v>0</v>
      </c>
      <c r="BY84" s="85">
        <v>0</v>
      </c>
      <c r="BZ84" s="85">
        <v>0</v>
      </c>
      <c r="CA84" s="85">
        <f t="shared" si="78"/>
        <v>0</v>
      </c>
      <c r="CB84" s="85">
        <v>0</v>
      </c>
      <c r="CC84" s="85">
        <v>0</v>
      </c>
      <c r="CD84" s="85">
        <f t="shared" si="79"/>
        <v>0</v>
      </c>
      <c r="CE84" s="85">
        <v>0</v>
      </c>
      <c r="CF84" s="85">
        <v>0</v>
      </c>
      <c r="CG84" s="85">
        <f t="shared" si="80"/>
        <v>0</v>
      </c>
      <c r="CH84" s="85">
        <v>0</v>
      </c>
      <c r="CI84" s="85">
        <v>0</v>
      </c>
      <c r="CJ84" s="85">
        <f t="shared" si="81"/>
        <v>0</v>
      </c>
      <c r="CK84" s="85">
        <v>0</v>
      </c>
      <c r="CL84" s="85">
        <v>0</v>
      </c>
      <c r="CM84" s="85">
        <f t="shared" si="82"/>
        <v>0</v>
      </c>
    </row>
    <row r="85" spans="1:91" ht="15">
      <c r="A85" s="7" t="s">
        <v>199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11"/>
      <c r="AQ85" s="3"/>
      <c r="AR85" s="11"/>
      <c r="AS85" s="11"/>
      <c r="AT85" s="3"/>
      <c r="AU85" s="11"/>
      <c r="AV85" s="11"/>
      <c r="AW85" s="3"/>
      <c r="AX85" s="11"/>
      <c r="AY85" s="11"/>
      <c r="AZ85" s="3"/>
      <c r="BA85" s="11"/>
      <c r="BB85" s="11"/>
      <c r="BC85" s="3"/>
      <c r="BD85" s="85"/>
      <c r="BE85" s="85"/>
      <c r="BF85" s="85"/>
      <c r="BG85" s="85"/>
      <c r="BH85" s="85"/>
      <c r="BI85" s="85"/>
      <c r="BJ85" s="85">
        <v>0</v>
      </c>
      <c r="BK85" s="85">
        <v>277149.33</v>
      </c>
      <c r="BL85" s="85">
        <f>+BJ85+BK85</f>
        <v>277149.33</v>
      </c>
      <c r="BM85" s="85">
        <v>0</v>
      </c>
      <c r="BN85" s="85">
        <v>73417.81</v>
      </c>
      <c r="BO85" s="85">
        <v>73417.81</v>
      </c>
      <c r="BP85" s="85">
        <v>0</v>
      </c>
      <c r="BQ85" s="85">
        <v>175820.78999999998</v>
      </c>
      <c r="BR85" s="85">
        <v>175820.78999999998</v>
      </c>
      <c r="BS85" s="85">
        <v>0</v>
      </c>
      <c r="BT85" s="85">
        <v>0</v>
      </c>
      <c r="BU85" s="85">
        <v>0</v>
      </c>
      <c r="BV85" s="85">
        <v>0</v>
      </c>
      <c r="BW85" s="85">
        <v>0</v>
      </c>
      <c r="BX85" s="85">
        <v>0</v>
      </c>
      <c r="BY85" s="85">
        <v>0</v>
      </c>
      <c r="BZ85" s="85">
        <v>0</v>
      </c>
      <c r="CA85" s="85">
        <f t="shared" si="78"/>
        <v>0</v>
      </c>
      <c r="CB85" s="85">
        <v>0</v>
      </c>
      <c r="CC85" s="85">
        <v>0</v>
      </c>
      <c r="CD85" s="85">
        <f t="shared" si="79"/>
        <v>0</v>
      </c>
      <c r="CE85" s="85">
        <v>0</v>
      </c>
      <c r="CF85" s="85">
        <v>0</v>
      </c>
      <c r="CG85" s="85">
        <f t="shared" si="80"/>
        <v>0</v>
      </c>
      <c r="CH85" s="85">
        <v>0</v>
      </c>
      <c r="CI85" s="85">
        <v>0</v>
      </c>
      <c r="CJ85" s="85">
        <f t="shared" si="81"/>
        <v>0</v>
      </c>
      <c r="CK85" s="85">
        <v>0</v>
      </c>
      <c r="CL85" s="85">
        <v>0</v>
      </c>
      <c r="CM85" s="85">
        <f t="shared" si="82"/>
        <v>0</v>
      </c>
    </row>
    <row r="86" spans="1:91" ht="15">
      <c r="A86" s="7" t="s">
        <v>200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11"/>
      <c r="AQ86" s="3"/>
      <c r="AR86" s="11"/>
      <c r="AS86" s="11"/>
      <c r="AT86" s="3"/>
      <c r="AU86" s="11"/>
      <c r="AV86" s="11"/>
      <c r="AW86" s="3"/>
      <c r="AX86" s="11"/>
      <c r="AY86" s="11"/>
      <c r="AZ86" s="3"/>
      <c r="BA86" s="11"/>
      <c r="BB86" s="11"/>
      <c r="BC86" s="3"/>
      <c r="BD86" s="85"/>
      <c r="BE86" s="85">
        <v>1569300</v>
      </c>
      <c r="BF86" s="85">
        <v>1569300</v>
      </c>
      <c r="BG86" s="85">
        <v>0</v>
      </c>
      <c r="BH86" s="85">
        <v>4564260.45</v>
      </c>
      <c r="BI86" s="85">
        <f t="shared" si="77"/>
        <v>4564260.45</v>
      </c>
      <c r="BJ86" s="85">
        <v>0</v>
      </c>
      <c r="BK86" s="85">
        <v>5971517.21</v>
      </c>
      <c r="BL86" s="85">
        <f>+BJ86+BK86</f>
        <v>5971517.21</v>
      </c>
      <c r="BM86" s="85">
        <v>0</v>
      </c>
      <c r="BN86" s="85">
        <v>8450971.02</v>
      </c>
      <c r="BO86" s="85">
        <v>8450971.02</v>
      </c>
      <c r="BP86" s="85">
        <v>0</v>
      </c>
      <c r="BQ86" s="85">
        <v>13741877.45</v>
      </c>
      <c r="BR86" s="85">
        <v>13741877.45</v>
      </c>
      <c r="BS86" s="85">
        <v>0</v>
      </c>
      <c r="BT86" s="85">
        <v>8883751.7986</v>
      </c>
      <c r="BU86" s="85">
        <v>8883751.7986</v>
      </c>
      <c r="BV86" s="85">
        <v>0</v>
      </c>
      <c r="BW86" s="85">
        <v>0</v>
      </c>
      <c r="BX86" s="85">
        <v>0</v>
      </c>
      <c r="BY86" s="85">
        <v>0</v>
      </c>
      <c r="BZ86" s="85">
        <v>0</v>
      </c>
      <c r="CA86" s="85">
        <f t="shared" si="78"/>
        <v>0</v>
      </c>
      <c r="CB86" s="85">
        <v>0</v>
      </c>
      <c r="CC86" s="85">
        <v>0</v>
      </c>
      <c r="CD86" s="85">
        <f t="shared" si="79"/>
        <v>0</v>
      </c>
      <c r="CE86" s="85">
        <v>0</v>
      </c>
      <c r="CF86" s="85">
        <v>0</v>
      </c>
      <c r="CG86" s="85">
        <f t="shared" si="80"/>
        <v>0</v>
      </c>
      <c r="CH86" s="85">
        <v>0</v>
      </c>
      <c r="CI86" s="85">
        <v>0</v>
      </c>
      <c r="CJ86" s="85">
        <f t="shared" si="81"/>
        <v>0</v>
      </c>
      <c r="CK86" s="85">
        <v>0</v>
      </c>
      <c r="CL86" s="85">
        <v>0</v>
      </c>
      <c r="CM86" s="85">
        <f t="shared" si="82"/>
        <v>0</v>
      </c>
    </row>
    <row r="87" spans="1:91" ht="15">
      <c r="A87" s="20" t="s">
        <v>144</v>
      </c>
      <c r="B87" s="21">
        <f aca="true" t="shared" si="83" ref="B87:AK87">+SUM(B88:B91)</f>
        <v>0</v>
      </c>
      <c r="C87" s="21">
        <f t="shared" si="83"/>
        <v>0</v>
      </c>
      <c r="D87" s="21">
        <f t="shared" si="83"/>
        <v>0</v>
      </c>
      <c r="E87" s="21">
        <f t="shared" si="83"/>
        <v>0</v>
      </c>
      <c r="F87" s="21">
        <f t="shared" si="83"/>
        <v>0</v>
      </c>
      <c r="G87" s="21">
        <f t="shared" si="83"/>
        <v>0</v>
      </c>
      <c r="H87" s="21">
        <f t="shared" si="83"/>
        <v>0</v>
      </c>
      <c r="I87" s="21">
        <f t="shared" si="83"/>
        <v>0</v>
      </c>
      <c r="J87" s="21">
        <f t="shared" si="83"/>
        <v>0</v>
      </c>
      <c r="K87" s="21">
        <f t="shared" si="83"/>
        <v>0</v>
      </c>
      <c r="L87" s="21">
        <f t="shared" si="83"/>
        <v>0</v>
      </c>
      <c r="M87" s="21">
        <f t="shared" si="83"/>
        <v>0</v>
      </c>
      <c r="N87" s="21">
        <f t="shared" si="83"/>
        <v>0</v>
      </c>
      <c r="O87" s="21">
        <f t="shared" si="83"/>
        <v>0</v>
      </c>
      <c r="P87" s="21">
        <f t="shared" si="83"/>
        <v>0</v>
      </c>
      <c r="Q87" s="21">
        <f t="shared" si="83"/>
        <v>0</v>
      </c>
      <c r="R87" s="21">
        <f t="shared" si="83"/>
        <v>0</v>
      </c>
      <c r="S87" s="21">
        <f t="shared" si="83"/>
        <v>0</v>
      </c>
      <c r="T87" s="21">
        <f t="shared" si="83"/>
        <v>0</v>
      </c>
      <c r="U87" s="21">
        <f t="shared" si="83"/>
        <v>0</v>
      </c>
      <c r="V87" s="21">
        <f t="shared" si="83"/>
        <v>0</v>
      </c>
      <c r="W87" s="21">
        <f t="shared" si="83"/>
        <v>0</v>
      </c>
      <c r="X87" s="21">
        <f t="shared" si="83"/>
        <v>0</v>
      </c>
      <c r="Y87" s="21">
        <f t="shared" si="83"/>
        <v>0</v>
      </c>
      <c r="Z87" s="21">
        <f t="shared" si="83"/>
        <v>0</v>
      </c>
      <c r="AA87" s="21">
        <f t="shared" si="83"/>
        <v>0</v>
      </c>
      <c r="AB87" s="21">
        <f t="shared" si="83"/>
        <v>0</v>
      </c>
      <c r="AC87" s="21">
        <f t="shared" si="83"/>
        <v>0</v>
      </c>
      <c r="AD87" s="21">
        <f t="shared" si="83"/>
        <v>0</v>
      </c>
      <c r="AE87" s="21">
        <f t="shared" si="83"/>
        <v>0</v>
      </c>
      <c r="AF87" s="21">
        <f t="shared" si="83"/>
        <v>0</v>
      </c>
      <c r="AG87" s="21">
        <f t="shared" si="83"/>
        <v>0</v>
      </c>
      <c r="AH87" s="21">
        <f t="shared" si="83"/>
        <v>0</v>
      </c>
      <c r="AI87" s="21">
        <f t="shared" si="83"/>
        <v>0</v>
      </c>
      <c r="AJ87" s="21">
        <f t="shared" si="83"/>
        <v>0</v>
      </c>
      <c r="AK87" s="21">
        <f t="shared" si="83"/>
        <v>0</v>
      </c>
      <c r="AL87" s="21">
        <f>+SUM(AL88:AL91)</f>
        <v>0</v>
      </c>
      <c r="AM87" s="21">
        <f aca="true" t="shared" si="84" ref="AM87:BR87">+SUM(AM88:AM91)</f>
        <v>0</v>
      </c>
      <c r="AN87" s="21">
        <f t="shared" si="84"/>
        <v>0</v>
      </c>
      <c r="AO87" s="21">
        <f t="shared" si="84"/>
        <v>0</v>
      </c>
      <c r="AP87" s="21">
        <f t="shared" si="84"/>
        <v>0</v>
      </c>
      <c r="AQ87" s="21">
        <f t="shared" si="84"/>
        <v>0</v>
      </c>
      <c r="AR87" s="21">
        <f t="shared" si="84"/>
        <v>0</v>
      </c>
      <c r="AS87" s="21">
        <f t="shared" si="84"/>
        <v>0</v>
      </c>
      <c r="AT87" s="21">
        <f t="shared" si="84"/>
        <v>0</v>
      </c>
      <c r="AU87" s="21">
        <f t="shared" si="84"/>
        <v>0</v>
      </c>
      <c r="AV87" s="21">
        <f t="shared" si="84"/>
        <v>0</v>
      </c>
      <c r="AW87" s="21">
        <f t="shared" si="84"/>
        <v>0</v>
      </c>
      <c r="AX87" s="21">
        <f t="shared" si="84"/>
        <v>0</v>
      </c>
      <c r="AY87" s="21">
        <f t="shared" si="84"/>
        <v>0</v>
      </c>
      <c r="AZ87" s="21">
        <f t="shared" si="84"/>
        <v>0</v>
      </c>
      <c r="BA87" s="21">
        <f t="shared" si="84"/>
        <v>0</v>
      </c>
      <c r="BB87" s="21">
        <f t="shared" si="84"/>
        <v>0</v>
      </c>
      <c r="BC87" s="21">
        <f t="shared" si="84"/>
        <v>0</v>
      </c>
      <c r="BD87" s="21">
        <f t="shared" si="84"/>
        <v>0</v>
      </c>
      <c r="BE87" s="21">
        <f t="shared" si="84"/>
        <v>9231784.67</v>
      </c>
      <c r="BF87" s="21">
        <f t="shared" si="84"/>
        <v>9231784.67</v>
      </c>
      <c r="BG87" s="21">
        <f t="shared" si="84"/>
        <v>0</v>
      </c>
      <c r="BH87" s="21">
        <f t="shared" si="84"/>
        <v>16323524.07</v>
      </c>
      <c r="BI87" s="21">
        <f t="shared" si="84"/>
        <v>16323524.07</v>
      </c>
      <c r="BJ87" s="21">
        <f t="shared" si="84"/>
        <v>6534891.13</v>
      </c>
      <c r="BK87" s="21">
        <f t="shared" si="84"/>
        <v>21444723.8</v>
      </c>
      <c r="BL87" s="21">
        <f t="shared" si="84"/>
        <v>27979614.930000003</v>
      </c>
      <c r="BM87" s="21">
        <f t="shared" si="84"/>
        <v>65393218.629999995</v>
      </c>
      <c r="BN87" s="21">
        <f t="shared" si="84"/>
        <v>42378128.339999996</v>
      </c>
      <c r="BO87" s="21">
        <f t="shared" si="84"/>
        <v>107771346.97</v>
      </c>
      <c r="BP87" s="21">
        <f t="shared" si="84"/>
        <v>165034478.70999998</v>
      </c>
      <c r="BQ87" s="21">
        <f t="shared" si="84"/>
        <v>46684488.391899996</v>
      </c>
      <c r="BR87" s="21">
        <f t="shared" si="84"/>
        <v>211718967.10189998</v>
      </c>
      <c r="BS87" s="21">
        <v>24342674.49</v>
      </c>
      <c r="BT87" s="21">
        <v>8480077.85</v>
      </c>
      <c r="BU87" s="21">
        <v>32822752.339999996</v>
      </c>
      <c r="BV87" s="21">
        <v>0</v>
      </c>
      <c r="BW87" s="21">
        <v>0</v>
      </c>
      <c r="BX87" s="21">
        <v>0</v>
      </c>
      <c r="BY87" s="21">
        <f>SUM(BY88:BY91)</f>
        <v>0</v>
      </c>
      <c r="BZ87" s="21">
        <f>SUM(BZ88:BZ91)</f>
        <v>0</v>
      </c>
      <c r="CA87" s="21">
        <f aca="true" t="shared" si="85" ref="CA87:CA94">+BY87+BZ87</f>
        <v>0</v>
      </c>
      <c r="CB87" s="21">
        <f>SUM(CB88:CB91)</f>
        <v>0</v>
      </c>
      <c r="CC87" s="21">
        <f>SUM(CC88:CC91)</f>
        <v>0</v>
      </c>
      <c r="CD87" s="21">
        <f t="shared" si="79"/>
        <v>0</v>
      </c>
      <c r="CE87" s="21">
        <f>SUM(CE88:CE91)</f>
        <v>0</v>
      </c>
      <c r="CF87" s="21">
        <f>SUM(CF88:CF91)</f>
        <v>0</v>
      </c>
      <c r="CG87" s="21">
        <f t="shared" si="80"/>
        <v>0</v>
      </c>
      <c r="CH87" s="21">
        <f>SUM(CH88:CH91)</f>
        <v>0</v>
      </c>
      <c r="CI87" s="21">
        <f>SUM(CI88:CI91)</f>
        <v>0</v>
      </c>
      <c r="CJ87" s="21">
        <f t="shared" si="81"/>
        <v>0</v>
      </c>
      <c r="CK87" s="21">
        <f>SUM(CK88:CK91)</f>
        <v>0</v>
      </c>
      <c r="CL87" s="21">
        <f>SUM(CL88:CL91)</f>
        <v>0</v>
      </c>
      <c r="CM87" s="21">
        <f t="shared" si="82"/>
        <v>0</v>
      </c>
    </row>
    <row r="88" spans="1:91" ht="15">
      <c r="A88" s="7" t="s">
        <v>201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11"/>
      <c r="AQ88" s="3"/>
      <c r="AR88" s="11"/>
      <c r="AS88" s="11"/>
      <c r="AT88" s="3"/>
      <c r="AU88" s="11"/>
      <c r="AV88" s="11"/>
      <c r="AW88" s="3"/>
      <c r="AX88" s="11"/>
      <c r="AY88" s="11"/>
      <c r="AZ88" s="3"/>
      <c r="BA88" s="11"/>
      <c r="BB88" s="11"/>
      <c r="BC88" s="3"/>
      <c r="BD88" s="85"/>
      <c r="BE88" s="85">
        <v>1376550</v>
      </c>
      <c r="BF88" s="85">
        <v>1376550</v>
      </c>
      <c r="BG88" s="85">
        <v>0</v>
      </c>
      <c r="BH88" s="85">
        <v>1710283.32</v>
      </c>
      <c r="BI88" s="85">
        <f t="shared" si="77"/>
        <v>1710283.32</v>
      </c>
      <c r="BJ88" s="85">
        <v>6534891.13</v>
      </c>
      <c r="BK88" s="85">
        <v>3173223.6</v>
      </c>
      <c r="BL88" s="85">
        <f t="shared" si="37"/>
        <v>9708114.73</v>
      </c>
      <c r="BM88" s="85">
        <v>33932343.73</v>
      </c>
      <c r="BN88" s="85">
        <v>7173341.26</v>
      </c>
      <c r="BO88" s="85">
        <v>41105684.989999995</v>
      </c>
      <c r="BP88" s="85">
        <v>41160465.96</v>
      </c>
      <c r="BQ88" s="85">
        <v>7629576.7936</v>
      </c>
      <c r="BR88" s="85">
        <v>48790042.7536</v>
      </c>
      <c r="BS88" s="85">
        <v>0</v>
      </c>
      <c r="BT88" s="85">
        <v>0</v>
      </c>
      <c r="BU88" s="85">
        <v>0</v>
      </c>
      <c r="BV88" s="85">
        <v>0</v>
      </c>
      <c r="BW88" s="85">
        <v>0</v>
      </c>
      <c r="BX88" s="85">
        <v>0</v>
      </c>
      <c r="BY88" s="85">
        <v>0</v>
      </c>
      <c r="BZ88" s="85">
        <v>0</v>
      </c>
      <c r="CA88" s="85">
        <f t="shared" si="85"/>
        <v>0</v>
      </c>
      <c r="CB88" s="85">
        <v>0</v>
      </c>
      <c r="CC88" s="85">
        <v>0</v>
      </c>
      <c r="CD88" s="85">
        <f t="shared" si="79"/>
        <v>0</v>
      </c>
      <c r="CE88" s="85">
        <v>0</v>
      </c>
      <c r="CF88" s="85">
        <v>0</v>
      </c>
      <c r="CG88" s="85">
        <f t="shared" si="80"/>
        <v>0</v>
      </c>
      <c r="CH88" s="85">
        <v>0</v>
      </c>
      <c r="CI88" s="85">
        <v>0</v>
      </c>
      <c r="CJ88" s="85">
        <f t="shared" si="81"/>
        <v>0</v>
      </c>
      <c r="CK88" s="85">
        <v>0</v>
      </c>
      <c r="CL88" s="85">
        <v>0</v>
      </c>
      <c r="CM88" s="85">
        <f t="shared" si="82"/>
        <v>0</v>
      </c>
    </row>
    <row r="89" spans="1:91" ht="15">
      <c r="A89" s="7" t="s">
        <v>202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11"/>
      <c r="AQ89" s="3"/>
      <c r="AR89" s="11"/>
      <c r="AS89" s="11"/>
      <c r="AT89" s="3"/>
      <c r="AU89" s="11"/>
      <c r="AV89" s="11"/>
      <c r="AW89" s="3"/>
      <c r="AX89" s="11"/>
      <c r="AY89" s="11"/>
      <c r="AZ89" s="3"/>
      <c r="BA89" s="11"/>
      <c r="BB89" s="11"/>
      <c r="BC89" s="3"/>
      <c r="BD89" s="85"/>
      <c r="BE89" s="85">
        <v>5688771.69</v>
      </c>
      <c r="BF89" s="85">
        <v>5688771.69</v>
      </c>
      <c r="BG89" s="85">
        <v>0</v>
      </c>
      <c r="BH89" s="85">
        <v>4247548.949999999</v>
      </c>
      <c r="BI89" s="85">
        <f t="shared" si="77"/>
        <v>4247548.949999999</v>
      </c>
      <c r="BJ89" s="85">
        <v>0</v>
      </c>
      <c r="BK89" s="85">
        <v>6359244.99</v>
      </c>
      <c r="BL89" s="85">
        <f t="shared" si="37"/>
        <v>6359244.99</v>
      </c>
      <c r="BM89" s="85">
        <v>0</v>
      </c>
      <c r="BN89" s="85">
        <v>13763323.71</v>
      </c>
      <c r="BO89" s="85">
        <v>13763323.71</v>
      </c>
      <c r="BP89" s="85">
        <v>68031860.46</v>
      </c>
      <c r="BQ89" s="85">
        <v>21665014.4883</v>
      </c>
      <c r="BR89" s="85">
        <v>89696874.94829999</v>
      </c>
      <c r="BS89" s="85">
        <v>0</v>
      </c>
      <c r="BT89" s="85">
        <v>0</v>
      </c>
      <c r="BU89" s="85">
        <v>0</v>
      </c>
      <c r="BV89" s="85">
        <v>0</v>
      </c>
      <c r="BW89" s="85">
        <v>0</v>
      </c>
      <c r="BX89" s="85">
        <v>0</v>
      </c>
      <c r="BY89" s="85">
        <v>0</v>
      </c>
      <c r="BZ89" s="85">
        <v>0</v>
      </c>
      <c r="CA89" s="85">
        <f t="shared" si="85"/>
        <v>0</v>
      </c>
      <c r="CB89" s="85">
        <v>0</v>
      </c>
      <c r="CC89" s="85">
        <v>0</v>
      </c>
      <c r="CD89" s="85">
        <f t="shared" si="79"/>
        <v>0</v>
      </c>
      <c r="CE89" s="85">
        <v>0</v>
      </c>
      <c r="CF89" s="85">
        <v>0</v>
      </c>
      <c r="CG89" s="85">
        <f t="shared" si="80"/>
        <v>0</v>
      </c>
      <c r="CH89" s="85">
        <v>0</v>
      </c>
      <c r="CI89" s="85">
        <v>0</v>
      </c>
      <c r="CJ89" s="85">
        <f t="shared" si="81"/>
        <v>0</v>
      </c>
      <c r="CK89" s="85">
        <v>0</v>
      </c>
      <c r="CL89" s="85">
        <v>0</v>
      </c>
      <c r="CM89" s="85">
        <f t="shared" si="82"/>
        <v>0</v>
      </c>
    </row>
    <row r="90" spans="1:91" ht="15">
      <c r="A90" s="7" t="s">
        <v>203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11"/>
      <c r="AQ90" s="3"/>
      <c r="AR90" s="11"/>
      <c r="AS90" s="11"/>
      <c r="AT90" s="3"/>
      <c r="AU90" s="11"/>
      <c r="AV90" s="11"/>
      <c r="AW90" s="3"/>
      <c r="AX90" s="11"/>
      <c r="AY90" s="11"/>
      <c r="AZ90" s="3"/>
      <c r="BA90" s="11"/>
      <c r="BB90" s="11"/>
      <c r="BC90" s="3"/>
      <c r="BD90" s="85"/>
      <c r="BE90" s="85">
        <v>2166462.98</v>
      </c>
      <c r="BF90" s="85">
        <v>2166462.98</v>
      </c>
      <c r="BG90" s="85">
        <v>0</v>
      </c>
      <c r="BH90" s="85">
        <v>4139617.71</v>
      </c>
      <c r="BI90" s="85">
        <f t="shared" si="77"/>
        <v>4139617.71</v>
      </c>
      <c r="BJ90" s="85">
        <v>0</v>
      </c>
      <c r="BK90" s="85">
        <v>6202622.66</v>
      </c>
      <c r="BL90" s="85">
        <f>+BJ90+BK90</f>
        <v>6202622.66</v>
      </c>
      <c r="BM90" s="85">
        <v>31460874.9</v>
      </c>
      <c r="BN90" s="85">
        <v>8825158.52</v>
      </c>
      <c r="BO90" s="85">
        <v>40286033.42</v>
      </c>
      <c r="BP90" s="85">
        <v>31632548.619999997</v>
      </c>
      <c r="BQ90" s="85">
        <v>10176073.92</v>
      </c>
      <c r="BR90" s="85">
        <v>41808622.54</v>
      </c>
      <c r="BS90" s="85">
        <v>0</v>
      </c>
      <c r="BT90" s="85">
        <v>0</v>
      </c>
      <c r="BU90" s="85">
        <v>0</v>
      </c>
      <c r="BV90" s="85">
        <v>0</v>
      </c>
      <c r="BW90" s="85">
        <v>0</v>
      </c>
      <c r="BX90" s="85">
        <v>0</v>
      </c>
      <c r="BY90" s="85">
        <v>0</v>
      </c>
      <c r="BZ90" s="85">
        <v>0</v>
      </c>
      <c r="CA90" s="85">
        <f t="shared" si="85"/>
        <v>0</v>
      </c>
      <c r="CB90" s="85">
        <v>0</v>
      </c>
      <c r="CC90" s="85">
        <v>0</v>
      </c>
      <c r="CD90" s="85">
        <f t="shared" si="79"/>
        <v>0</v>
      </c>
      <c r="CE90" s="85">
        <v>0</v>
      </c>
      <c r="CF90" s="85">
        <v>0</v>
      </c>
      <c r="CG90" s="85">
        <f t="shared" si="80"/>
        <v>0</v>
      </c>
      <c r="CH90" s="85">
        <v>0</v>
      </c>
      <c r="CI90" s="85">
        <v>0</v>
      </c>
      <c r="CJ90" s="85">
        <f t="shared" si="81"/>
        <v>0</v>
      </c>
      <c r="CK90" s="85">
        <v>0</v>
      </c>
      <c r="CL90" s="85">
        <v>0</v>
      </c>
      <c r="CM90" s="85">
        <f t="shared" si="82"/>
        <v>0</v>
      </c>
    </row>
    <row r="91" spans="1:91" ht="15">
      <c r="A91" s="7" t="s">
        <v>204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11"/>
      <c r="AQ91" s="3"/>
      <c r="AR91" s="11"/>
      <c r="AS91" s="11"/>
      <c r="AT91" s="3"/>
      <c r="AU91" s="11"/>
      <c r="AV91" s="11"/>
      <c r="AW91" s="3"/>
      <c r="AX91" s="11"/>
      <c r="AY91" s="11"/>
      <c r="AZ91" s="3"/>
      <c r="BA91" s="11"/>
      <c r="BB91" s="11"/>
      <c r="BC91" s="3"/>
      <c r="BD91" s="85"/>
      <c r="BE91" s="85"/>
      <c r="BF91" s="85"/>
      <c r="BG91" s="85">
        <v>0</v>
      </c>
      <c r="BH91" s="85">
        <v>6226074.09</v>
      </c>
      <c r="BI91" s="85">
        <f t="shared" si="77"/>
        <v>6226074.09</v>
      </c>
      <c r="BJ91" s="85">
        <v>0</v>
      </c>
      <c r="BK91" s="85">
        <v>5709632.55</v>
      </c>
      <c r="BL91" s="85">
        <f>+BJ91+BK91</f>
        <v>5709632.55</v>
      </c>
      <c r="BM91" s="85">
        <v>0</v>
      </c>
      <c r="BN91" s="85">
        <v>12616304.85</v>
      </c>
      <c r="BO91" s="85">
        <v>12616304.85</v>
      </c>
      <c r="BP91" s="85">
        <v>24209603.67</v>
      </c>
      <c r="BQ91" s="85">
        <v>7213823.1899999995</v>
      </c>
      <c r="BR91" s="85">
        <v>31423426.86</v>
      </c>
      <c r="BS91" s="85">
        <v>24342674.49</v>
      </c>
      <c r="BT91" s="85">
        <v>8480077.85</v>
      </c>
      <c r="BU91" s="85">
        <v>32822752.339999996</v>
      </c>
      <c r="BV91" s="85">
        <v>0</v>
      </c>
      <c r="BW91" s="85">
        <v>0</v>
      </c>
      <c r="BX91" s="85">
        <v>0</v>
      </c>
      <c r="BY91" s="85">
        <v>0</v>
      </c>
      <c r="BZ91" s="85">
        <v>0</v>
      </c>
      <c r="CA91" s="85">
        <f t="shared" si="85"/>
        <v>0</v>
      </c>
      <c r="CB91" s="85">
        <v>0</v>
      </c>
      <c r="CC91" s="85">
        <v>0</v>
      </c>
      <c r="CD91" s="85">
        <f t="shared" si="79"/>
        <v>0</v>
      </c>
      <c r="CE91" s="85">
        <v>0</v>
      </c>
      <c r="CF91" s="85">
        <v>0</v>
      </c>
      <c r="CG91" s="85">
        <f t="shared" si="80"/>
        <v>0</v>
      </c>
      <c r="CH91" s="85">
        <v>0</v>
      </c>
      <c r="CI91" s="85">
        <v>0</v>
      </c>
      <c r="CJ91" s="85">
        <f t="shared" si="81"/>
        <v>0</v>
      </c>
      <c r="CK91" s="85">
        <v>0</v>
      </c>
      <c r="CL91" s="85">
        <v>0</v>
      </c>
      <c r="CM91" s="85">
        <f t="shared" si="82"/>
        <v>0</v>
      </c>
    </row>
    <row r="92" spans="1:91" ht="15">
      <c r="A92" s="20" t="s">
        <v>145</v>
      </c>
      <c r="B92" s="21">
        <f aca="true" t="shared" si="86" ref="B92:AK92">+B93</f>
        <v>0</v>
      </c>
      <c r="C92" s="21">
        <f t="shared" si="86"/>
        <v>0</v>
      </c>
      <c r="D92" s="21">
        <f t="shared" si="86"/>
        <v>0</v>
      </c>
      <c r="E92" s="21">
        <f t="shared" si="86"/>
        <v>0</v>
      </c>
      <c r="F92" s="21">
        <f t="shared" si="86"/>
        <v>0</v>
      </c>
      <c r="G92" s="21">
        <f t="shared" si="86"/>
        <v>0</v>
      </c>
      <c r="H92" s="21">
        <f t="shared" si="86"/>
        <v>0</v>
      </c>
      <c r="I92" s="21">
        <f t="shared" si="86"/>
        <v>0</v>
      </c>
      <c r="J92" s="21">
        <f t="shared" si="86"/>
        <v>0</v>
      </c>
      <c r="K92" s="21">
        <f t="shared" si="86"/>
        <v>0</v>
      </c>
      <c r="L92" s="21">
        <f t="shared" si="86"/>
        <v>0</v>
      </c>
      <c r="M92" s="21">
        <f t="shared" si="86"/>
        <v>0</v>
      </c>
      <c r="N92" s="21">
        <f t="shared" si="86"/>
        <v>0</v>
      </c>
      <c r="O92" s="21">
        <f t="shared" si="86"/>
        <v>0</v>
      </c>
      <c r="P92" s="21">
        <f t="shared" si="86"/>
        <v>0</v>
      </c>
      <c r="Q92" s="21">
        <f t="shared" si="86"/>
        <v>0</v>
      </c>
      <c r="R92" s="21">
        <f t="shared" si="86"/>
        <v>0</v>
      </c>
      <c r="S92" s="21">
        <f t="shared" si="86"/>
        <v>0</v>
      </c>
      <c r="T92" s="21">
        <f t="shared" si="86"/>
        <v>0</v>
      </c>
      <c r="U92" s="21">
        <f t="shared" si="86"/>
        <v>0</v>
      </c>
      <c r="V92" s="21">
        <f t="shared" si="86"/>
        <v>0</v>
      </c>
      <c r="W92" s="21">
        <f t="shared" si="86"/>
        <v>0</v>
      </c>
      <c r="X92" s="21">
        <f t="shared" si="86"/>
        <v>0</v>
      </c>
      <c r="Y92" s="21">
        <f t="shared" si="86"/>
        <v>0</v>
      </c>
      <c r="Z92" s="21">
        <f t="shared" si="86"/>
        <v>0</v>
      </c>
      <c r="AA92" s="21">
        <f t="shared" si="86"/>
        <v>0</v>
      </c>
      <c r="AB92" s="21">
        <f t="shared" si="86"/>
        <v>0</v>
      </c>
      <c r="AC92" s="21">
        <f t="shared" si="86"/>
        <v>0</v>
      </c>
      <c r="AD92" s="21">
        <f t="shared" si="86"/>
        <v>0</v>
      </c>
      <c r="AE92" s="21">
        <f t="shared" si="86"/>
        <v>0</v>
      </c>
      <c r="AF92" s="21">
        <f t="shared" si="86"/>
        <v>0</v>
      </c>
      <c r="AG92" s="21">
        <f t="shared" si="86"/>
        <v>0</v>
      </c>
      <c r="AH92" s="21">
        <f t="shared" si="86"/>
        <v>0</v>
      </c>
      <c r="AI92" s="21">
        <f t="shared" si="86"/>
        <v>0</v>
      </c>
      <c r="AJ92" s="21">
        <f t="shared" si="86"/>
        <v>0</v>
      </c>
      <c r="AK92" s="21">
        <f t="shared" si="86"/>
        <v>0</v>
      </c>
      <c r="AL92" s="21">
        <f>+AL93</f>
        <v>0</v>
      </c>
      <c r="AM92" s="21">
        <f aca="true" t="shared" si="87" ref="AM92:BR92">+AM93</f>
        <v>0</v>
      </c>
      <c r="AN92" s="21">
        <f t="shared" si="87"/>
        <v>0</v>
      </c>
      <c r="AO92" s="21">
        <f t="shared" si="87"/>
        <v>0</v>
      </c>
      <c r="AP92" s="21">
        <f t="shared" si="87"/>
        <v>0</v>
      </c>
      <c r="AQ92" s="21">
        <f t="shared" si="87"/>
        <v>0</v>
      </c>
      <c r="AR92" s="21">
        <f t="shared" si="87"/>
        <v>0</v>
      </c>
      <c r="AS92" s="21">
        <f t="shared" si="87"/>
        <v>0</v>
      </c>
      <c r="AT92" s="21">
        <f t="shared" si="87"/>
        <v>0</v>
      </c>
      <c r="AU92" s="21">
        <f t="shared" si="87"/>
        <v>0</v>
      </c>
      <c r="AV92" s="21">
        <f t="shared" si="87"/>
        <v>0</v>
      </c>
      <c r="AW92" s="21">
        <f t="shared" si="87"/>
        <v>0</v>
      </c>
      <c r="AX92" s="21">
        <f t="shared" si="87"/>
        <v>0</v>
      </c>
      <c r="AY92" s="21">
        <f t="shared" si="87"/>
        <v>0</v>
      </c>
      <c r="AZ92" s="21">
        <f t="shared" si="87"/>
        <v>0</v>
      </c>
      <c r="BA92" s="21">
        <f t="shared" si="87"/>
        <v>0</v>
      </c>
      <c r="BB92" s="21">
        <f t="shared" si="87"/>
        <v>0</v>
      </c>
      <c r="BC92" s="21">
        <f t="shared" si="87"/>
        <v>0</v>
      </c>
      <c r="BD92" s="21">
        <f t="shared" si="87"/>
        <v>0</v>
      </c>
      <c r="BE92" s="21">
        <f t="shared" si="87"/>
        <v>4026883</v>
      </c>
      <c r="BF92" s="21">
        <f t="shared" si="87"/>
        <v>4026883</v>
      </c>
      <c r="BG92" s="21">
        <f t="shared" si="87"/>
        <v>0</v>
      </c>
      <c r="BH92" s="21">
        <f t="shared" si="87"/>
        <v>28504990.76</v>
      </c>
      <c r="BI92" s="21">
        <f t="shared" si="87"/>
        <v>28504990.76</v>
      </c>
      <c r="BJ92" s="21">
        <f t="shared" si="87"/>
        <v>0</v>
      </c>
      <c r="BK92" s="21">
        <f t="shared" si="87"/>
        <v>39196962.22</v>
      </c>
      <c r="BL92" s="21">
        <f t="shared" si="87"/>
        <v>39196962.22</v>
      </c>
      <c r="BM92" s="21">
        <f t="shared" si="87"/>
        <v>0</v>
      </c>
      <c r="BN92" s="21">
        <f t="shared" si="87"/>
        <v>56885284.980000004</v>
      </c>
      <c r="BO92" s="21">
        <f t="shared" si="87"/>
        <v>56885284.980000004</v>
      </c>
      <c r="BP92" s="21">
        <f t="shared" si="87"/>
        <v>0</v>
      </c>
      <c r="BQ92" s="21">
        <f t="shared" si="87"/>
        <v>59452457.59</v>
      </c>
      <c r="BR92" s="21">
        <f t="shared" si="87"/>
        <v>59452457.59</v>
      </c>
      <c r="BS92" s="21">
        <v>0</v>
      </c>
      <c r="BT92" s="21">
        <v>0</v>
      </c>
      <c r="BU92" s="21">
        <v>0</v>
      </c>
      <c r="BV92" s="21">
        <v>0</v>
      </c>
      <c r="BW92" s="21">
        <v>0</v>
      </c>
      <c r="BX92" s="21">
        <v>0</v>
      </c>
      <c r="BY92" s="21">
        <f>+BY93</f>
        <v>0</v>
      </c>
      <c r="BZ92" s="21">
        <f>+BZ93</f>
        <v>0</v>
      </c>
      <c r="CA92" s="21">
        <f t="shared" si="85"/>
        <v>0</v>
      </c>
      <c r="CB92" s="21">
        <f>+CB93</f>
        <v>0</v>
      </c>
      <c r="CC92" s="21">
        <f>+CC93</f>
        <v>0</v>
      </c>
      <c r="CD92" s="21">
        <f t="shared" si="79"/>
        <v>0</v>
      </c>
      <c r="CE92" s="21">
        <f>+CE93</f>
        <v>0</v>
      </c>
      <c r="CF92" s="21">
        <f>+CF93</f>
        <v>0</v>
      </c>
      <c r="CG92" s="21">
        <f t="shared" si="80"/>
        <v>0</v>
      </c>
      <c r="CH92" s="21">
        <f>+CH93</f>
        <v>0</v>
      </c>
      <c r="CI92" s="21">
        <f>+CI93</f>
        <v>0</v>
      </c>
      <c r="CJ92" s="21">
        <f t="shared" si="81"/>
        <v>0</v>
      </c>
      <c r="CK92" s="21">
        <f>+CK93</f>
        <v>0</v>
      </c>
      <c r="CL92" s="21">
        <f>+CL93</f>
        <v>0</v>
      </c>
      <c r="CM92" s="21">
        <f t="shared" si="82"/>
        <v>0</v>
      </c>
    </row>
    <row r="93" spans="1:91" ht="15">
      <c r="A93" s="7" t="s">
        <v>205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11"/>
      <c r="AQ93" s="3"/>
      <c r="AR93" s="11"/>
      <c r="AS93" s="11"/>
      <c r="AT93" s="3"/>
      <c r="AU93" s="11"/>
      <c r="AV93" s="11"/>
      <c r="AW93" s="3"/>
      <c r="AX93" s="11"/>
      <c r="AY93" s="11"/>
      <c r="AZ93" s="3"/>
      <c r="BA93" s="11"/>
      <c r="BB93" s="11"/>
      <c r="BC93" s="3"/>
      <c r="BD93" s="85"/>
      <c r="BE93" s="85">
        <v>4026883</v>
      </c>
      <c r="BF93" s="85">
        <v>4026883</v>
      </c>
      <c r="BG93" s="85">
        <v>0</v>
      </c>
      <c r="BH93" s="85">
        <v>28504990.76</v>
      </c>
      <c r="BI93" s="85">
        <v>28504990.76</v>
      </c>
      <c r="BJ93" s="85">
        <v>0</v>
      </c>
      <c r="BK93" s="85">
        <v>39196962.22</v>
      </c>
      <c r="BL93" s="85">
        <f t="shared" si="37"/>
        <v>39196962.22</v>
      </c>
      <c r="BM93" s="85">
        <v>0</v>
      </c>
      <c r="BN93" s="85">
        <v>56885284.980000004</v>
      </c>
      <c r="BO93" s="85">
        <v>56885284.980000004</v>
      </c>
      <c r="BP93" s="85">
        <v>0</v>
      </c>
      <c r="BQ93" s="85">
        <v>59452457.59</v>
      </c>
      <c r="BR93" s="85">
        <v>59452457.59</v>
      </c>
      <c r="BS93" s="85">
        <v>0</v>
      </c>
      <c r="BT93" s="85">
        <v>0</v>
      </c>
      <c r="BU93" s="85">
        <v>0</v>
      </c>
      <c r="BV93" s="85">
        <v>0</v>
      </c>
      <c r="BW93" s="85">
        <v>0</v>
      </c>
      <c r="BX93" s="85">
        <v>0</v>
      </c>
      <c r="BY93" s="85">
        <v>0</v>
      </c>
      <c r="BZ93" s="85">
        <v>0</v>
      </c>
      <c r="CA93" s="85">
        <f t="shared" si="85"/>
        <v>0</v>
      </c>
      <c r="CB93" s="85">
        <v>0</v>
      </c>
      <c r="CC93" s="85">
        <v>0</v>
      </c>
      <c r="CD93" s="85">
        <f t="shared" si="79"/>
        <v>0</v>
      </c>
      <c r="CE93" s="85">
        <v>0</v>
      </c>
      <c r="CF93" s="85">
        <v>0</v>
      </c>
      <c r="CG93" s="85">
        <f t="shared" si="80"/>
        <v>0</v>
      </c>
      <c r="CH93" s="85">
        <v>0</v>
      </c>
      <c r="CI93" s="85">
        <v>0</v>
      </c>
      <c r="CJ93" s="85">
        <f t="shared" si="81"/>
        <v>0</v>
      </c>
      <c r="CK93" s="85">
        <v>0</v>
      </c>
      <c r="CL93" s="85">
        <v>0</v>
      </c>
      <c r="CM93" s="85">
        <f t="shared" si="82"/>
        <v>0</v>
      </c>
    </row>
    <row r="94" spans="1:91" s="5" customFormat="1" ht="15">
      <c r="A94" s="15" t="s">
        <v>7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9">
        <f>+'[6]2006'!$N$17</f>
        <v>7602953.649999999</v>
      </c>
      <c r="AM94" s="19">
        <f>+'[6]2006'!$O$17</f>
        <v>4521337.39</v>
      </c>
      <c r="AN94" s="19">
        <f>SUM(AL94:AM94)</f>
        <v>12124291.04</v>
      </c>
      <c r="AO94" s="19">
        <f>+'[6]2007'!$N$16</f>
        <v>4469551.57</v>
      </c>
      <c r="AP94" s="19">
        <f>+'[6]2007'!$O$16</f>
        <v>3827776.1700000004</v>
      </c>
      <c r="AQ94" s="19">
        <f>SUM(AO94:AP94)</f>
        <v>8297327.74</v>
      </c>
      <c r="AR94" s="19">
        <f>+'[3]ANO_08'!$N$133</f>
        <v>8514170.22</v>
      </c>
      <c r="AS94" s="19">
        <f>+'[3]ANO_08'!$O$133</f>
        <v>4707353.25</v>
      </c>
      <c r="AT94" s="19">
        <f>SUM(AR94:AS94)</f>
        <v>13221523.47</v>
      </c>
      <c r="AU94" s="19">
        <f>+'[7]ANEXO IV-DEZ2009'!$D$10</f>
        <v>10281426.120000001</v>
      </c>
      <c r="AV94" s="19">
        <f>+'[7]ANEXO IV-DEZ2009'!$E$10</f>
        <v>4483296.96</v>
      </c>
      <c r="AW94" s="19">
        <f>SUM(AU94:AV94)</f>
        <v>14764723.080000002</v>
      </c>
      <c r="AX94" s="19">
        <v>49246760.11000001</v>
      </c>
      <c r="AY94" s="19">
        <v>3480491.95</v>
      </c>
      <c r="AZ94" s="19">
        <f>SUM(AX94:AY94)</f>
        <v>52727252.06000001</v>
      </c>
      <c r="BA94" s="19">
        <v>6096502.44</v>
      </c>
      <c r="BB94" s="19">
        <v>2109671.39</v>
      </c>
      <c r="BC94" s="19">
        <f>SUM(BA94:BB94)</f>
        <v>8206173.83</v>
      </c>
      <c r="BD94" s="19">
        <v>7616342.012961001</v>
      </c>
      <c r="BE94" s="19">
        <v>2415273.704715</v>
      </c>
      <c r="BF94" s="19">
        <v>10031615.717676</v>
      </c>
      <c r="BG94" s="19">
        <v>9807274.07</v>
      </c>
      <c r="BH94" s="19">
        <v>2616715.16</v>
      </c>
      <c r="BI94" s="19">
        <v>12423989.229999999</v>
      </c>
      <c r="BJ94" s="19">
        <v>8821659</v>
      </c>
      <c r="BK94" s="19">
        <v>2267590</v>
      </c>
      <c r="BL94" s="19">
        <f t="shared" si="37"/>
        <v>11089249</v>
      </c>
      <c r="BM94" s="19">
        <v>14506821.21</v>
      </c>
      <c r="BN94" s="19">
        <v>3148581.0264050006</v>
      </c>
      <c r="BO94" s="19">
        <f>+BM94+BN94</f>
        <v>17655402.236405</v>
      </c>
      <c r="BP94" s="19">
        <v>4218627.18</v>
      </c>
      <c r="BQ94" s="19">
        <v>2766496.23</v>
      </c>
      <c r="BR94" s="19">
        <f>+BP94+BQ94</f>
        <v>6985123.41</v>
      </c>
      <c r="BS94" s="19">
        <v>7735739.1899999995</v>
      </c>
      <c r="BT94" s="19">
        <v>3677593.562416</v>
      </c>
      <c r="BU94" s="19">
        <v>11413332.752415998</v>
      </c>
      <c r="BV94" s="19">
        <v>8977609.97</v>
      </c>
      <c r="BW94" s="19">
        <v>6574492.6885</v>
      </c>
      <c r="BX94" s="19">
        <v>15552102.6585</v>
      </c>
      <c r="BY94" s="19">
        <v>10389365.309999999</v>
      </c>
      <c r="BZ94" s="19">
        <v>7519749.206308</v>
      </c>
      <c r="CA94" s="19">
        <f t="shared" si="85"/>
        <v>17909114.516308</v>
      </c>
      <c r="CB94" s="19">
        <v>14004060.97</v>
      </c>
      <c r="CC94" s="19">
        <v>9678627.418944</v>
      </c>
      <c r="CD94" s="19">
        <f t="shared" si="79"/>
        <v>23682688.388944</v>
      </c>
      <c r="CE94" s="19">
        <v>16127262.68</v>
      </c>
      <c r="CF94" s="19">
        <v>10247702.151463997</v>
      </c>
      <c r="CG94" s="19">
        <f t="shared" si="80"/>
        <v>26374964.831463996</v>
      </c>
      <c r="CH94" s="19">
        <v>17033999.259999998</v>
      </c>
      <c r="CI94" s="19">
        <v>10989597.765779</v>
      </c>
      <c r="CJ94" s="19">
        <f>+CH94+CI94</f>
        <v>28023597.025778998</v>
      </c>
      <c r="CK94" s="19">
        <v>18801889.899986003</v>
      </c>
      <c r="CL94" s="19">
        <v>16210494.236542</v>
      </c>
      <c r="CM94" s="19">
        <f>+CK94+CL94</f>
        <v>35012384.136528</v>
      </c>
    </row>
    <row r="95" spans="1:91" s="5" customFormat="1" ht="15">
      <c r="A95" s="15" t="s">
        <v>8</v>
      </c>
      <c r="B95" s="19">
        <f>+B94+B15</f>
        <v>0</v>
      </c>
      <c r="C95" s="19">
        <f>+C94+C15</f>
        <v>677243.83</v>
      </c>
      <c r="D95" s="19">
        <f>SUM(B95:C95)</f>
        <v>677243.83</v>
      </c>
      <c r="E95" s="19">
        <f>+E94+E15</f>
        <v>28430874.67</v>
      </c>
      <c r="F95" s="19">
        <f>+F94+F15</f>
        <v>77647669.11999999</v>
      </c>
      <c r="G95" s="19">
        <f>SUM(E95:F95)</f>
        <v>106078543.78999999</v>
      </c>
      <c r="H95" s="19">
        <f>+H94+H15</f>
        <v>64314724.08</v>
      </c>
      <c r="I95" s="19">
        <f>+I94+I15</f>
        <v>133231011.54</v>
      </c>
      <c r="J95" s="19">
        <f>SUM(H95:I95)</f>
        <v>197545735.62</v>
      </c>
      <c r="K95" s="19">
        <f>+K94+K15</f>
        <v>62340629.13</v>
      </c>
      <c r="L95" s="19">
        <f>+L94+L15</f>
        <v>1148908650.3299997</v>
      </c>
      <c r="M95" s="19">
        <f>SUM(K95:L95)</f>
        <v>1211249279.4599998</v>
      </c>
      <c r="N95" s="19">
        <f>+N94+N15</f>
        <v>66698389.8</v>
      </c>
      <c r="O95" s="19">
        <f>+O94+O15</f>
        <v>174440106.41</v>
      </c>
      <c r="P95" s="19">
        <f>SUM(N95:O95)</f>
        <v>241138496.20999998</v>
      </c>
      <c r="Q95" s="19">
        <f>+Q94+Q15</f>
        <v>2165276285.77</v>
      </c>
      <c r="R95" s="19">
        <f>+R94+R15</f>
        <v>234452474.99</v>
      </c>
      <c r="S95" s="19">
        <f>SUM(Q95:R95)</f>
        <v>2399728760.76</v>
      </c>
      <c r="T95" s="19">
        <f>+T94+T15</f>
        <v>189860128.36</v>
      </c>
      <c r="U95" s="19">
        <f>+U94+U15</f>
        <v>705067761.5600001</v>
      </c>
      <c r="V95" s="19">
        <f>SUM(T95:U95)</f>
        <v>894927889.9200001</v>
      </c>
      <c r="W95" s="19">
        <f>+W94+W15</f>
        <v>291203601.45000005</v>
      </c>
      <c r="X95" s="19">
        <f>+X94+X15</f>
        <v>926922846.4</v>
      </c>
      <c r="Y95" s="19">
        <f>SUM(W95:X95)</f>
        <v>1218126447.85</v>
      </c>
      <c r="Z95" s="19">
        <f>+Z94+Z15</f>
        <v>402188715.21</v>
      </c>
      <c r="AA95" s="19">
        <f>+AA94+AA15</f>
        <v>1205736252.4800005</v>
      </c>
      <c r="AB95" s="19">
        <f>SUM(Z95:AA95)</f>
        <v>1607924967.6900005</v>
      </c>
      <c r="AC95" s="19">
        <f>+AC94+AC15</f>
        <v>530402159.68</v>
      </c>
      <c r="AD95" s="19">
        <f>+AD94+AD15</f>
        <v>1625136589.84</v>
      </c>
      <c r="AE95" s="19">
        <f>SUM(AC95:AD95)</f>
        <v>2155538749.52</v>
      </c>
      <c r="AF95" s="19">
        <f>+AF94+AF15</f>
        <v>795956040.3699999</v>
      </c>
      <c r="AG95" s="19">
        <f>+AG94+AG15</f>
        <v>1523990815.1100001</v>
      </c>
      <c r="AH95" s="19">
        <f>SUM(AF95:AG95)</f>
        <v>2319946855.48</v>
      </c>
      <c r="AI95" s="19">
        <f>+AI94+AI15</f>
        <v>730372996.56</v>
      </c>
      <c r="AJ95" s="19">
        <f>+AJ94+AJ15</f>
        <v>1804863178.092</v>
      </c>
      <c r="AK95" s="19">
        <f>SUM(AI95:AJ95)</f>
        <v>2535236174.652</v>
      </c>
      <c r="AL95" s="19">
        <f>+AL94+AL15</f>
        <v>714128135.9499999</v>
      </c>
      <c r="AM95" s="19">
        <f>+AM94+AM15</f>
        <v>1943903541.19</v>
      </c>
      <c r="AN95" s="19">
        <f>SUM(AL95:AM95)</f>
        <v>2658031677.14</v>
      </c>
      <c r="AO95" s="19">
        <f>+AO94+AO15</f>
        <v>824629527.0500001</v>
      </c>
      <c r="AP95" s="19">
        <f>+AP94+AP15</f>
        <v>2140468117.4600003</v>
      </c>
      <c r="AQ95" s="19">
        <f>SUM(AO95:AP95)</f>
        <v>2965097644.51</v>
      </c>
      <c r="AR95" s="19">
        <f>+AR94+AR15</f>
        <v>869190255.8934999</v>
      </c>
      <c r="AS95" s="19">
        <f>+AS94+AS15</f>
        <v>2263326413.4</v>
      </c>
      <c r="AT95" s="19">
        <f>SUM(AR95:AS95)</f>
        <v>3132516669.2935</v>
      </c>
      <c r="AU95" s="19">
        <f>+AU94+AU15</f>
        <v>1228639097.8318412</v>
      </c>
      <c r="AV95" s="19">
        <f>+AV94+AV15</f>
        <v>2292735827.6606917</v>
      </c>
      <c r="AW95" s="19">
        <f>SUM(AU95:AV95)</f>
        <v>3521374925.4925327</v>
      </c>
      <c r="AX95" s="19">
        <f>+AX94+AX15</f>
        <v>1272766051.9599998</v>
      </c>
      <c r="AY95" s="19">
        <f>+AY94+AY15</f>
        <v>2334643993.4</v>
      </c>
      <c r="AZ95" s="19">
        <f>SUM(AX95:AY95)</f>
        <v>3607410045.3599997</v>
      </c>
      <c r="BA95" s="19">
        <f>+BA94+BA15</f>
        <v>1632635553.77</v>
      </c>
      <c r="BB95" s="19">
        <f>+BB94+BB15</f>
        <v>2468585620.1699996</v>
      </c>
      <c r="BC95" s="19">
        <f>SUM(BA95:BB95)</f>
        <v>4101221173.9399996</v>
      </c>
      <c r="BD95" s="19">
        <v>2294550027.072961</v>
      </c>
      <c r="BE95" s="19">
        <v>2633264835.454715</v>
      </c>
      <c r="BF95" s="19">
        <v>4927814862.527676</v>
      </c>
      <c r="BG95" s="19">
        <v>2847662738.56</v>
      </c>
      <c r="BH95" s="19">
        <v>2931711183.56</v>
      </c>
      <c r="BI95" s="19">
        <v>5779373922.120001</v>
      </c>
      <c r="BJ95" s="19">
        <v>3448656137.4715075</v>
      </c>
      <c r="BK95" s="19">
        <v>3232558948.6138825</v>
      </c>
      <c r="BL95" s="19">
        <f t="shared" si="37"/>
        <v>6681215086.08539</v>
      </c>
      <c r="BM95" s="19">
        <v>3315612347.2</v>
      </c>
      <c r="BN95" s="19">
        <v>3688478121.816405</v>
      </c>
      <c r="BO95" s="19">
        <f>+BM95+BN95</f>
        <v>7004090469.016405</v>
      </c>
      <c r="BP95" s="19">
        <v>2118203432.6479163</v>
      </c>
      <c r="BQ95" s="19">
        <v>2875029865.4919</v>
      </c>
      <c r="BR95" s="19">
        <f>+BP95+BQ95</f>
        <v>4993233298.139816</v>
      </c>
      <c r="BS95" s="19">
        <v>890457232.1200001</v>
      </c>
      <c r="BT95" s="19">
        <v>897542342.6814162</v>
      </c>
      <c r="BU95" s="19">
        <v>1787999574.8014164</v>
      </c>
      <c r="BV95" s="19">
        <f aca="true" t="shared" si="88" ref="BV95:CA95">+BV15+BV94</f>
        <v>464689179.4600001</v>
      </c>
      <c r="BW95" s="19">
        <f t="shared" si="88"/>
        <v>119505815.1285</v>
      </c>
      <c r="BX95" s="19">
        <f t="shared" si="88"/>
        <v>584194994.5884999</v>
      </c>
      <c r="BY95" s="19">
        <f t="shared" si="88"/>
        <v>566436543.29</v>
      </c>
      <c r="BZ95" s="19">
        <f t="shared" si="88"/>
        <v>127521528.28630799</v>
      </c>
      <c r="CA95" s="19">
        <f t="shared" si="88"/>
        <v>693958071.576308</v>
      </c>
      <c r="CB95" s="19">
        <f aca="true" t="shared" si="89" ref="CB95:CG95">+CB15+CB94</f>
        <v>384092289.26</v>
      </c>
      <c r="CC95" s="19">
        <f t="shared" si="89"/>
        <v>374744887.82894397</v>
      </c>
      <c r="CD95" s="19">
        <f t="shared" si="89"/>
        <v>758837177.088944</v>
      </c>
      <c r="CE95" s="19">
        <f t="shared" si="89"/>
        <v>504436011.1691345</v>
      </c>
      <c r="CF95" s="19">
        <f t="shared" si="89"/>
        <v>832116395.041464</v>
      </c>
      <c r="CG95" s="19">
        <f t="shared" si="89"/>
        <v>1336552406.2105985</v>
      </c>
      <c r="CH95" s="19">
        <f aca="true" t="shared" si="90" ref="CH95:CM95">+CH15+CH94</f>
        <v>706405011.8278415</v>
      </c>
      <c r="CI95" s="19">
        <f t="shared" si="90"/>
        <v>939007589.245779</v>
      </c>
      <c r="CJ95" s="19">
        <f t="shared" si="90"/>
        <v>1645412601.0736206</v>
      </c>
      <c r="CK95" s="19">
        <f t="shared" si="90"/>
        <v>1826286723.9665787</v>
      </c>
      <c r="CL95" s="19">
        <f t="shared" si="90"/>
        <v>3049799418.226542</v>
      </c>
      <c r="CM95" s="19">
        <f t="shared" si="90"/>
        <v>4876086142.193121</v>
      </c>
    </row>
    <row r="96" spans="1:91" s="5" customFormat="1" ht="15">
      <c r="A96" s="15" t="s">
        <v>17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9"/>
      <c r="AM96" s="19"/>
      <c r="AN96" s="19">
        <v>17921637453.43</v>
      </c>
      <c r="AO96" s="19"/>
      <c r="AP96" s="19"/>
      <c r="AQ96" s="19">
        <v>18935393032.24</v>
      </c>
      <c r="AR96" s="19"/>
      <c r="AS96" s="19"/>
      <c r="AT96" s="19">
        <v>22807477281.93</v>
      </c>
      <c r="AU96" s="19"/>
      <c r="AV96" s="19"/>
      <c r="AW96" s="19">
        <v>21905157348.81</v>
      </c>
      <c r="AX96" s="19"/>
      <c r="AY96" s="19"/>
      <c r="AZ96" s="19">
        <v>27142167293.37388</v>
      </c>
      <c r="BA96" s="19"/>
      <c r="BB96" s="19"/>
      <c r="BC96" s="19">
        <v>28389850944.7</v>
      </c>
      <c r="BD96" s="19"/>
      <c r="BE96" s="19"/>
      <c r="BF96" s="19">
        <v>32260518833.23797</v>
      </c>
      <c r="BG96" s="19"/>
      <c r="BH96" s="19"/>
      <c r="BI96" s="19">
        <v>35038910302.450005</v>
      </c>
      <c r="BJ96" s="19"/>
      <c r="BK96" s="19"/>
      <c r="BL96" s="19">
        <v>39909640651</v>
      </c>
      <c r="BM96" s="19"/>
      <c r="BN96" s="19"/>
      <c r="BO96" s="19">
        <v>39452698650.72751</v>
      </c>
      <c r="BP96" s="19"/>
      <c r="BQ96" s="19"/>
      <c r="BR96" s="19">
        <v>35640261451.160835</v>
      </c>
      <c r="BS96" s="19"/>
      <c r="BT96" s="19"/>
      <c r="BU96" s="19">
        <v>35424970775.57</v>
      </c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</row>
    <row r="97" spans="1:91" s="5" customFormat="1" ht="15">
      <c r="A97" s="25" t="s">
        <v>18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6"/>
      <c r="AM97" s="26"/>
      <c r="AN97" s="26">
        <f>+ROUND(AN95/AN96,4)</f>
        <v>0.1483</v>
      </c>
      <c r="AO97" s="26"/>
      <c r="AP97" s="26"/>
      <c r="AQ97" s="26">
        <f>+ROUND(AQ95/AQ96,4)</f>
        <v>0.1566</v>
      </c>
      <c r="AR97" s="26"/>
      <c r="AS97" s="26"/>
      <c r="AT97" s="26">
        <f>+ROUND(AT95/AT96,4)</f>
        <v>0.1373</v>
      </c>
      <c r="AU97" s="26"/>
      <c r="AV97" s="26"/>
      <c r="AW97" s="26">
        <f>+ROUND(AW95/AW96,4)</f>
        <v>0.1608</v>
      </c>
      <c r="AX97" s="26"/>
      <c r="AY97" s="26"/>
      <c r="AZ97" s="26">
        <f>+ROUND(AZ95/AZ96,4)</f>
        <v>0.1329</v>
      </c>
      <c r="BA97" s="26"/>
      <c r="BB97" s="26"/>
      <c r="BC97" s="26">
        <f>+ROUND(BC95/BC96,4)</f>
        <v>0.1445</v>
      </c>
      <c r="BD97" s="26"/>
      <c r="BE97" s="26"/>
      <c r="BF97" s="26">
        <v>0.1528</v>
      </c>
      <c r="BG97" s="26"/>
      <c r="BH97" s="26"/>
      <c r="BI97" s="26">
        <v>0.164941599845241</v>
      </c>
      <c r="BJ97" s="26"/>
      <c r="BK97" s="26"/>
      <c r="BL97" s="26">
        <f>+BL95/BL96</f>
        <v>0.16740855034278496</v>
      </c>
      <c r="BM97" s="26"/>
      <c r="BN97" s="26"/>
      <c r="BO97" s="26">
        <f>+BO95/BO96</f>
        <v>0.17753134027720685</v>
      </c>
      <c r="BP97" s="26"/>
      <c r="BQ97" s="26"/>
      <c r="BR97" s="26">
        <f>+BR95/BR96</f>
        <v>0.14010091662717536</v>
      </c>
      <c r="BS97" s="26"/>
      <c r="BT97" s="26"/>
      <c r="BU97" s="26">
        <v>0.05047285955799485</v>
      </c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</row>
    <row r="98" spans="48:73" ht="15">
      <c r="AV98" s="4"/>
      <c r="BS98" s="5"/>
      <c r="BT98" s="5"/>
      <c r="BU98" s="5"/>
    </row>
    <row r="99" spans="71:73" ht="15">
      <c r="BS99" s="5"/>
      <c r="BT99" s="5"/>
      <c r="BU99" s="5"/>
    </row>
    <row r="100" spans="74:76" ht="15" customHeight="1" hidden="1">
      <c r="BV100" s="5"/>
      <c r="BW100" s="5"/>
      <c r="BX100" s="5"/>
    </row>
    <row r="101" spans="74:76" ht="15" hidden="1">
      <c r="BV101" s="5"/>
      <c r="BW101" s="5"/>
      <c r="BX101" s="5"/>
    </row>
    <row r="102" spans="74:76" ht="15" hidden="1">
      <c r="BV102" s="5"/>
      <c r="BW102" s="5"/>
      <c r="BX102" s="5"/>
    </row>
    <row r="103" spans="74:76" ht="15" hidden="1">
      <c r="BV103" s="5"/>
      <c r="BW103" s="5"/>
      <c r="BX103" s="5"/>
    </row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4" ht="26.25">
      <c r="AP114" s="31"/>
    </row>
    <row r="116" spans="42:70" ht="26.25">
      <c r="AP116" s="31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</row>
    <row r="117" spans="59:70" ht="15">
      <c r="BG117" s="8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</row>
    <row r="118" spans="59:73" ht="15">
      <c r="BG118" s="55"/>
      <c r="BH118" s="49"/>
      <c r="BI118" s="49"/>
      <c r="BJ118" s="49"/>
      <c r="BK118" s="49"/>
      <c r="BL118" s="49"/>
      <c r="BM118" s="49"/>
      <c r="BN118" s="49"/>
      <c r="BO118" s="49"/>
      <c r="BP118" s="49"/>
      <c r="BQ118" s="39"/>
      <c r="BR118" s="39"/>
      <c r="BS118" s="39"/>
      <c r="BT118" s="39"/>
      <c r="BU118" s="39"/>
    </row>
    <row r="119" spans="59:73" ht="15">
      <c r="BG119" s="55"/>
      <c r="BH119" s="49"/>
      <c r="BI119" s="49"/>
      <c r="BJ119" s="49"/>
      <c r="BK119" s="49"/>
      <c r="BL119" s="49"/>
      <c r="BM119" s="49"/>
      <c r="BN119" s="49"/>
      <c r="BO119" s="49"/>
      <c r="BP119" s="49"/>
      <c r="BQ119" s="39"/>
      <c r="BR119" s="39"/>
      <c r="BS119" s="39"/>
      <c r="BT119" s="39"/>
      <c r="BU119" s="39"/>
    </row>
    <row r="120" spans="59:75" ht="23.25">
      <c r="BG120" s="55"/>
      <c r="BH120" s="55"/>
      <c r="BI120" s="71" t="s">
        <v>13</v>
      </c>
      <c r="BJ120" s="49"/>
      <c r="BK120" s="49"/>
      <c r="BL120" s="49"/>
      <c r="BM120" s="49"/>
      <c r="BN120" s="49"/>
      <c r="BO120" s="49"/>
      <c r="BP120" s="49"/>
      <c r="BQ120" s="44"/>
      <c r="BR120" s="44"/>
      <c r="BS120" s="39"/>
      <c r="BT120" s="39"/>
      <c r="BU120" s="39"/>
      <c r="BV120" s="39"/>
      <c r="BW120" s="39"/>
    </row>
    <row r="121" spans="59:78" ht="15">
      <c r="BG121" s="55"/>
      <c r="BH121" s="55"/>
      <c r="BI121" s="49"/>
      <c r="BJ121" s="49"/>
      <c r="BK121" s="49"/>
      <c r="BL121" s="49"/>
      <c r="BM121" s="49"/>
      <c r="BN121" s="49">
        <v>1000</v>
      </c>
      <c r="BO121" s="49"/>
      <c r="BP121" s="49"/>
      <c r="BQ121" s="44"/>
      <c r="BR121" s="44"/>
      <c r="BS121" s="39"/>
      <c r="BT121" s="39"/>
      <c r="BU121" s="39"/>
      <c r="BV121" s="39"/>
      <c r="BW121" s="39"/>
      <c r="BX121" s="39"/>
      <c r="BY121" s="39"/>
      <c r="BZ121" s="39"/>
    </row>
    <row r="122" spans="59:79" ht="15">
      <c r="BG122" s="55"/>
      <c r="BH122" s="55"/>
      <c r="BI122" s="49"/>
      <c r="BJ122" s="49">
        <v>2006</v>
      </c>
      <c r="BK122" s="49">
        <v>2007</v>
      </c>
      <c r="BL122" s="49">
        <v>2008</v>
      </c>
      <c r="BM122" s="49">
        <v>2009</v>
      </c>
      <c r="BN122" s="49">
        <v>2010</v>
      </c>
      <c r="BO122" s="49">
        <v>2011</v>
      </c>
      <c r="BP122" s="49">
        <v>2012</v>
      </c>
      <c r="BQ122" s="49">
        <v>2013</v>
      </c>
      <c r="BR122" s="49">
        <v>2014</v>
      </c>
      <c r="BS122" s="49">
        <v>2015</v>
      </c>
      <c r="BT122" s="49">
        <v>2016</v>
      </c>
      <c r="BU122" s="49">
        <v>2017</v>
      </c>
      <c r="BV122" s="49">
        <v>2018</v>
      </c>
      <c r="BW122" s="49">
        <v>2019</v>
      </c>
      <c r="BX122" s="49">
        <v>2020</v>
      </c>
      <c r="BY122" s="49">
        <v>2021</v>
      </c>
      <c r="BZ122" s="49">
        <v>2022</v>
      </c>
      <c r="CA122" s="49">
        <v>2023</v>
      </c>
    </row>
    <row r="123" spans="59:79" ht="15">
      <c r="BG123" s="55"/>
      <c r="BH123" s="55"/>
      <c r="BI123" s="49" t="s">
        <v>262</v>
      </c>
      <c r="BJ123" s="52">
        <f>+AN95/$BN$121</f>
        <v>2658031.67714</v>
      </c>
      <c r="BK123" s="52">
        <f>+AQ95/$BN$121</f>
        <v>2965097.64451</v>
      </c>
      <c r="BL123" s="52">
        <f>+AT95/$BN$121</f>
        <v>3132516.6692935</v>
      </c>
      <c r="BM123" s="52">
        <f>AW95/$BN$121</f>
        <v>3521374.9254925326</v>
      </c>
      <c r="BN123" s="52">
        <f>AZ95/$BN$121</f>
        <v>3607410.04536</v>
      </c>
      <c r="BO123" s="52">
        <f>BC95/$BN$121</f>
        <v>4101221.1739399997</v>
      </c>
      <c r="BP123" s="52">
        <f>BF95/$BN$121</f>
        <v>4927814.862527676</v>
      </c>
      <c r="BQ123" s="52">
        <f>BI95/$BN$121</f>
        <v>5779373.922120001</v>
      </c>
      <c r="BR123" s="52">
        <f>+BL95/$BN$121</f>
        <v>6681215.08608539</v>
      </c>
      <c r="BS123" s="52">
        <f>+BO95/$BN$121</f>
        <v>7004090.469016405</v>
      </c>
      <c r="BT123" s="52">
        <f>+BR95/$BN$121</f>
        <v>4993233.298139816</v>
      </c>
      <c r="BU123" s="52">
        <f>+BU95/$BN$121</f>
        <v>1787999.5748014164</v>
      </c>
      <c r="BV123" s="52">
        <f>+BX95/$BN$121</f>
        <v>584194.9945884999</v>
      </c>
      <c r="BW123" s="52">
        <f>+CA95/$BN$121</f>
        <v>693958.071576308</v>
      </c>
      <c r="BX123" s="52">
        <f>+CD95/$BN$121</f>
        <v>758837.177088944</v>
      </c>
      <c r="BY123" s="52">
        <f>+CG95/$BN$121</f>
        <v>1336552.4062105985</v>
      </c>
      <c r="BZ123" s="52">
        <f>+CJ95/$BN$121</f>
        <v>1645412.6010736206</v>
      </c>
      <c r="CA123" s="52">
        <f>+CM95/$BN$121</f>
        <v>4876086.142193121</v>
      </c>
    </row>
    <row r="124" spans="59:78" ht="15">
      <c r="BG124" s="55"/>
      <c r="BH124" s="55"/>
      <c r="BI124" s="49" t="s">
        <v>17</v>
      </c>
      <c r="BJ124" s="52">
        <f>+AN96/$BN$121</f>
        <v>17921637.45343</v>
      </c>
      <c r="BK124" s="52">
        <f>+AQ96/BN121</f>
        <v>18935393.032240003</v>
      </c>
      <c r="BL124" s="52">
        <f>+AT96/BN121</f>
        <v>22807477.28193</v>
      </c>
      <c r="BM124" s="52">
        <f>+AW96/1000</f>
        <v>21905157.348810002</v>
      </c>
      <c r="BN124" s="52">
        <f>AZ96/$BN$121</f>
        <v>27142167.29337388</v>
      </c>
      <c r="BO124" s="52">
        <f>BC96/$BN$121</f>
        <v>28389850.9447</v>
      </c>
      <c r="BP124" s="52">
        <f>BF96/$BN$121</f>
        <v>32260518.83323797</v>
      </c>
      <c r="BQ124" s="52">
        <f>BI96/$BN$121</f>
        <v>35038910.30245</v>
      </c>
      <c r="BR124" s="52">
        <f>+BL96/$BN$121</f>
        <v>39909640.651</v>
      </c>
      <c r="BS124" s="52">
        <f>+BO96/$BN$121</f>
        <v>39452698.65072751</v>
      </c>
      <c r="BT124" s="52">
        <f>+BR96/$BN$121</f>
        <v>35640261.45116083</v>
      </c>
      <c r="BU124" s="52">
        <f>+BU96/$BN$121</f>
        <v>35424970.77557</v>
      </c>
      <c r="BV124" s="52">
        <f>+BX96/$BN$121</f>
        <v>0</v>
      </c>
      <c r="BW124" s="52">
        <f>+CA96/$BN$121</f>
        <v>0</v>
      </c>
      <c r="BX124" s="39"/>
      <c r="BY124" s="39"/>
      <c r="BZ124" s="39"/>
    </row>
    <row r="125" spans="59:74" ht="15"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89"/>
      <c r="BR125" s="89"/>
      <c r="BS125" s="89"/>
      <c r="BT125" s="89"/>
      <c r="BU125" s="89"/>
      <c r="BV125" s="89"/>
    </row>
    <row r="126" spans="1:74" ht="18.75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123"/>
      <c r="AL126" s="49"/>
      <c r="AM126" s="49"/>
      <c r="AN126" s="39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89"/>
      <c r="BR126" s="89"/>
      <c r="BS126" s="89"/>
      <c r="BT126" s="89"/>
      <c r="BU126" s="89"/>
      <c r="BV126" s="89"/>
    </row>
    <row r="127" spans="1:74" ht="15">
      <c r="A127" s="49"/>
      <c r="B127" s="55"/>
      <c r="C127" s="55"/>
      <c r="D127" s="55"/>
      <c r="E127" s="55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55"/>
      <c r="AL127" s="49"/>
      <c r="AM127" s="49">
        <v>1000</v>
      </c>
      <c r="AN127" s="39"/>
      <c r="AO127" s="89"/>
      <c r="AP127" s="41"/>
      <c r="AQ127" s="41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89"/>
      <c r="BR127" s="89"/>
      <c r="BS127" s="89"/>
      <c r="BT127" s="89"/>
      <c r="BU127" s="89"/>
      <c r="BV127" s="89"/>
    </row>
    <row r="128" spans="1:74" ht="15">
      <c r="A128" s="55"/>
      <c r="B128" s="55"/>
      <c r="C128" s="55"/>
      <c r="D128" s="55"/>
      <c r="E128" s="55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55"/>
      <c r="AL128" s="49">
        <v>2023</v>
      </c>
      <c r="AM128" s="49"/>
      <c r="AN128" s="39"/>
      <c r="AO128" s="89"/>
      <c r="AP128" s="41"/>
      <c r="AQ128" s="41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89"/>
      <c r="BR128" s="89"/>
      <c r="BU128" s="89"/>
      <c r="BV128" s="89"/>
    </row>
    <row r="129" spans="1:74" ht="1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49"/>
      <c r="AM129" s="49"/>
      <c r="AN129" s="3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</row>
    <row r="130" spans="1:74" ht="15">
      <c r="A130" s="49" t="s">
        <v>21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2">
        <f>+CM16/AM127</f>
        <v>4609654.13803</v>
      </c>
      <c r="AM130" s="49"/>
      <c r="AN130" s="3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</row>
    <row r="131" spans="1:74" ht="15">
      <c r="A131" s="49" t="s">
        <v>22</v>
      </c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2">
        <f>+CM26/AM127</f>
        <v>231419.6200265928</v>
      </c>
      <c r="AM131" s="49"/>
      <c r="AN131" s="3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</row>
    <row r="132" spans="1:74" ht="15">
      <c r="A132" s="49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49"/>
      <c r="AM132" s="49"/>
      <c r="AN132" s="3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</row>
    <row r="133" spans="1:73" ht="15">
      <c r="A133" s="49" t="s">
        <v>19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2">
        <f>(+CM27+CM16)/AM127</f>
        <v>4841073.758056593</v>
      </c>
      <c r="AM133" s="49"/>
      <c r="AN133" s="3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</row>
    <row r="134" spans="1:73" ht="15">
      <c r="A134" s="49" t="s">
        <v>20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2">
        <f>+CM65/AM127</f>
        <v>0</v>
      </c>
      <c r="AM134" s="49"/>
      <c r="AN134" s="3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</row>
    <row r="135" spans="1:43" ht="1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49"/>
      <c r="AM135" s="49"/>
      <c r="AN135" s="39"/>
      <c r="AO135" s="89"/>
      <c r="AP135" s="41"/>
      <c r="AQ135" s="41"/>
    </row>
    <row r="136" spans="1:41" ht="1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89"/>
      <c r="AO136" s="89"/>
    </row>
    <row r="137" spans="1:41" ht="1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89"/>
      <c r="AO137" s="89"/>
    </row>
    <row r="138" spans="1:41" ht="15">
      <c r="A138" s="55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55"/>
      <c r="AL138" s="55"/>
      <c r="AM138" s="55"/>
      <c r="AN138" s="89"/>
      <c r="AO138" s="89"/>
    </row>
    <row r="139" spans="1:39" ht="15">
      <c r="A139" s="55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</row>
    <row r="140" ht="15">
      <c r="A140" s="89"/>
    </row>
  </sheetData>
  <sheetProtection/>
  <mergeCells count="34">
    <mergeCell ref="BJ13:BL13"/>
    <mergeCell ref="AI13:AK13"/>
    <mergeCell ref="BY13:CA13"/>
    <mergeCell ref="BM13:BO13"/>
    <mergeCell ref="BD13:BF13"/>
    <mergeCell ref="AX13:AZ13"/>
    <mergeCell ref="BP13:BR13"/>
    <mergeCell ref="CH13:CJ13"/>
    <mergeCell ref="BS13:BU13"/>
    <mergeCell ref="CE13:CG13"/>
    <mergeCell ref="CB13:CD13"/>
    <mergeCell ref="BV13:BX13"/>
    <mergeCell ref="B13:D13"/>
    <mergeCell ref="AC13:AE13"/>
    <mergeCell ref="N13:P13"/>
    <mergeCell ref="Q13:S13"/>
    <mergeCell ref="T13:V13"/>
    <mergeCell ref="BD12:BF12"/>
    <mergeCell ref="BA13:BC13"/>
    <mergeCell ref="A12:BC12"/>
    <mergeCell ref="Z13:AB13"/>
    <mergeCell ref="AU13:AW13"/>
    <mergeCell ref="W13:Y13"/>
    <mergeCell ref="AF13:AH13"/>
    <mergeCell ref="CK13:CM13"/>
    <mergeCell ref="A8:AS8"/>
    <mergeCell ref="AL13:AN13"/>
    <mergeCell ref="AO13:AQ13"/>
    <mergeCell ref="AR13:AT13"/>
    <mergeCell ref="E13:G13"/>
    <mergeCell ref="H13:J13"/>
    <mergeCell ref="K13:M13"/>
    <mergeCell ref="BG12:BI12"/>
    <mergeCell ref="BG13:B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28" r:id="rId4"/>
  <ignoredErrors>
    <ignoredError sqref="AX13 BJ13 BG13 BD13 BA13 BM13 BP13 AC13:AK13 BS13" numberStoredAsText="1"/>
    <ignoredError sqref="AW18:AW24 AN29 BL40 BL47 AQ29 AT29 AN76 AQ76 AT76 AW76 BL63 BL57 BL55 BL74 BL76 BL87 BL92 AT95 AQ95 AN95 BI15 BI26 BI66 BI74 AN65 BX63" formula="1"/>
    <ignoredError sqref="BM47:BO47 BM57:BO57 BM66:BO66 BP54:BR54 BY29:BZ29 BY40:BZ40 BY47:BZ47 BY54:BZ54 BZ57 BY66:BZ66 BY76:BZ76 BY87:BZ87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25"/>
  <sheetViews>
    <sheetView showGridLines="0" tabSelected="1" zoomScale="90" zoomScaleNormal="9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95" sqref="F95"/>
    </sheetView>
  </sheetViews>
  <sheetFormatPr defaultColWidth="9.140625" defaultRowHeight="15" outlineLevelRow="1" outlineLevelCol="1"/>
  <cols>
    <col min="1" max="1" width="45.7109375" style="0" customWidth="1"/>
    <col min="2" max="2" width="18.140625" style="0" customWidth="1"/>
    <col min="3" max="3" width="16.7109375" style="0" customWidth="1"/>
    <col min="4" max="4" width="14.00390625" style="0" customWidth="1"/>
    <col min="5" max="5" width="12.7109375" style="0" customWidth="1"/>
    <col min="6" max="6" width="16.7109375" style="0" customWidth="1"/>
    <col min="7" max="7" width="14.57421875" style="0" customWidth="1"/>
    <col min="8" max="8" width="15.00390625" style="0" customWidth="1"/>
    <col min="9" max="9" width="17.57421875" style="0" customWidth="1"/>
    <col min="10" max="10" width="14.8515625" style="0" customWidth="1"/>
    <col min="11" max="11" width="15.140625" style="0" hidden="1" customWidth="1" outlineLevel="1"/>
    <col min="12" max="12" width="17.57421875" style="0" hidden="1" customWidth="1" outlineLevel="1"/>
    <col min="13" max="13" width="14.28125" style="0" hidden="1" customWidth="1" outlineLevel="1"/>
    <col min="14" max="14" width="13.8515625" style="0" hidden="1" customWidth="1" outlineLevel="1"/>
    <col min="15" max="15" width="15.8515625" style="0" hidden="1" customWidth="1" outlineLevel="1"/>
    <col min="16" max="16" width="14.57421875" style="0" hidden="1" customWidth="1" outlineLevel="1"/>
    <col min="17" max="17" width="13.7109375" style="0" hidden="1" customWidth="1" outlineLevel="1"/>
    <col min="18" max="18" width="15.8515625" style="0" hidden="1" customWidth="1" outlineLevel="1"/>
    <col min="19" max="19" width="14.57421875" style="0" hidden="1" customWidth="1" outlineLevel="1"/>
    <col min="20" max="20" width="13.57421875" style="0" hidden="1" customWidth="1" outlineLevel="1"/>
    <col min="21" max="21" width="15.8515625" style="0" hidden="1" customWidth="1" outlineLevel="1"/>
    <col min="22" max="22" width="13.421875" style="0" hidden="1" customWidth="1" outlineLevel="1"/>
    <col min="23" max="23" width="13.57421875" style="0" hidden="1" customWidth="1" outlineLevel="1"/>
    <col min="24" max="24" width="15.8515625" style="0" hidden="1" customWidth="1" outlineLevel="1"/>
    <col min="25" max="25" width="13.421875" style="0" hidden="1" customWidth="1" outlineLevel="1"/>
    <col min="26" max="26" width="13.57421875" style="0" hidden="1" customWidth="1" outlineLevel="1"/>
    <col min="27" max="27" width="16.140625" style="0" hidden="1" customWidth="1" outlineLevel="1"/>
    <col min="28" max="28" width="14.57421875" style="0" hidden="1" customWidth="1" outlineLevel="1"/>
    <col min="29" max="29" width="13.57421875" style="0" hidden="1" customWidth="1" outlineLevel="1"/>
    <col min="30" max="30" width="16.57421875" style="0" hidden="1" customWidth="1" outlineLevel="1"/>
    <col min="31" max="32" width="14.421875" style="0" hidden="1" customWidth="1" outlineLevel="1"/>
    <col min="33" max="33" width="16.7109375" style="0" hidden="1" customWidth="1" outlineLevel="1"/>
    <col min="34" max="35" width="14.421875" style="0" hidden="1" customWidth="1" outlineLevel="1"/>
    <col min="36" max="36" width="16.7109375" style="0" hidden="1" customWidth="1" outlineLevel="1"/>
    <col min="37" max="37" width="14.421875" style="0" hidden="1" customWidth="1" outlineLevel="1"/>
    <col min="38" max="38" width="14.421875" style="0" customWidth="1" collapsed="1"/>
    <col min="39" max="39" width="16.7109375" style="0" customWidth="1"/>
    <col min="40" max="40" width="13.421875" style="0" customWidth="1"/>
    <col min="41" max="41" width="17.421875" style="49" customWidth="1"/>
    <col min="42" max="42" width="13.8515625" style="0" bestFit="1" customWidth="1"/>
    <col min="43" max="43" width="18.8515625" style="0" customWidth="1"/>
    <col min="44" max="44" width="16.8515625" style="0" customWidth="1"/>
    <col min="45" max="45" width="12.00390625" style="0" bestFit="1" customWidth="1"/>
    <col min="46" max="46" width="15.7109375" style="0" customWidth="1"/>
  </cols>
  <sheetData>
    <row r="1" spans="2:33" ht="15">
      <c r="B1" s="1"/>
      <c r="C1" s="33"/>
      <c r="D1" s="33"/>
      <c r="AB1" s="24"/>
      <c r="AC1" s="24"/>
      <c r="AD1" s="24"/>
      <c r="AE1" s="24"/>
      <c r="AF1" s="24"/>
      <c r="AG1" s="24"/>
    </row>
    <row r="2" spans="2:39" ht="15" customHeight="1" outlineLevel="1">
      <c r="B2" s="1"/>
      <c r="C2" s="33"/>
      <c r="D2" s="33"/>
      <c r="U2" s="45"/>
      <c r="V2" s="45"/>
      <c r="W2" s="45"/>
      <c r="X2" s="45"/>
      <c r="Y2" s="45"/>
      <c r="Z2" s="45"/>
      <c r="AA2" s="45"/>
      <c r="AB2" s="48"/>
      <c r="AM2" s="4"/>
    </row>
    <row r="3" spans="2:39" ht="21.75" customHeight="1" outlineLevel="1">
      <c r="B3" s="37"/>
      <c r="C3" s="38"/>
      <c r="D3" s="38"/>
      <c r="E3" s="108"/>
      <c r="F3" s="108"/>
      <c r="T3" s="44"/>
      <c r="U3" s="44"/>
      <c r="V3" s="44"/>
      <c r="W3" s="44"/>
      <c r="X3" s="44"/>
      <c r="Y3" s="44"/>
      <c r="Z3" s="44"/>
      <c r="AA3" s="49"/>
      <c r="AB3" s="49"/>
      <c r="AM3" s="4"/>
    </row>
    <row r="4" spans="3:20" ht="15" customHeight="1" outlineLevel="1">
      <c r="C4" s="108"/>
      <c r="D4" s="108"/>
      <c r="E4" s="108"/>
      <c r="F4" s="108"/>
      <c r="O4" s="4"/>
      <c r="P4" s="4"/>
      <c r="S4" s="39"/>
      <c r="T4" s="44"/>
    </row>
    <row r="5" spans="1:20" ht="23.25" outlineLevel="1">
      <c r="A5" s="2" t="s">
        <v>30</v>
      </c>
      <c r="E5" s="34"/>
      <c r="F5" s="24"/>
      <c r="G5" s="4"/>
      <c r="N5" s="57"/>
      <c r="O5" s="58"/>
      <c r="T5" s="44"/>
    </row>
    <row r="6" spans="6:43" ht="18.75" outlineLevel="1">
      <c r="F6" s="30"/>
      <c r="H6" s="4"/>
      <c r="I6" s="4"/>
      <c r="K6" s="87"/>
      <c r="L6" s="87"/>
      <c r="U6" s="41"/>
      <c r="W6" s="41"/>
      <c r="X6" s="41"/>
      <c r="Z6" s="59"/>
      <c r="AA6" s="60"/>
      <c r="AC6" s="59"/>
      <c r="AD6" s="60"/>
      <c r="AF6" s="61"/>
      <c r="AG6" s="40"/>
      <c r="AI6" s="61"/>
      <c r="AJ6" s="62"/>
      <c r="AN6" s="43" t="s">
        <v>32</v>
      </c>
      <c r="AQ6" s="92"/>
    </row>
    <row r="7" spans="1:43" ht="15.75">
      <c r="A7" s="151" t="s">
        <v>294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Q7" s="92"/>
    </row>
    <row r="8" spans="1:40" ht="15">
      <c r="A8" s="17"/>
      <c r="B8" s="148" t="s">
        <v>9</v>
      </c>
      <c r="C8" s="149"/>
      <c r="D8" s="150"/>
      <c r="E8" s="143" t="s">
        <v>10</v>
      </c>
      <c r="F8" s="143"/>
      <c r="G8" s="143"/>
      <c r="H8" s="143" t="s">
        <v>11</v>
      </c>
      <c r="I8" s="143"/>
      <c r="J8" s="143"/>
      <c r="K8" s="143" t="s">
        <v>12</v>
      </c>
      <c r="L8" s="143"/>
      <c r="M8" s="143"/>
      <c r="N8" s="143" t="s">
        <v>33</v>
      </c>
      <c r="O8" s="143"/>
      <c r="P8" s="143"/>
      <c r="Q8" s="143" t="s">
        <v>34</v>
      </c>
      <c r="R8" s="143"/>
      <c r="S8" s="143"/>
      <c r="T8" s="143" t="s">
        <v>35</v>
      </c>
      <c r="U8" s="143"/>
      <c r="V8" s="143"/>
      <c r="W8" s="143" t="s">
        <v>36</v>
      </c>
      <c r="X8" s="143"/>
      <c r="Y8" s="143"/>
      <c r="Z8" s="143" t="s">
        <v>37</v>
      </c>
      <c r="AA8" s="143"/>
      <c r="AB8" s="143"/>
      <c r="AC8" s="143" t="s">
        <v>49</v>
      </c>
      <c r="AD8" s="143"/>
      <c r="AE8" s="143"/>
      <c r="AF8" s="143" t="s">
        <v>50</v>
      </c>
      <c r="AG8" s="143"/>
      <c r="AH8" s="143"/>
      <c r="AI8" s="143" t="s">
        <v>51</v>
      </c>
      <c r="AJ8" s="143"/>
      <c r="AK8" s="143"/>
      <c r="AL8" s="143" t="s">
        <v>105</v>
      </c>
      <c r="AM8" s="143"/>
      <c r="AN8" s="143"/>
    </row>
    <row r="9" spans="1:45" ht="15">
      <c r="A9" s="16"/>
      <c r="B9" s="18" t="s">
        <v>0</v>
      </c>
      <c r="C9" s="18" t="s">
        <v>16</v>
      </c>
      <c r="D9" s="18" t="s">
        <v>1</v>
      </c>
      <c r="E9" s="18" t="s">
        <v>0</v>
      </c>
      <c r="F9" s="18" t="s">
        <v>16</v>
      </c>
      <c r="G9" s="18" t="s">
        <v>1</v>
      </c>
      <c r="H9" s="18" t="s">
        <v>0</v>
      </c>
      <c r="I9" s="18" t="s">
        <v>16</v>
      </c>
      <c r="J9" s="18" t="s">
        <v>1</v>
      </c>
      <c r="K9" s="18" t="s">
        <v>0</v>
      </c>
      <c r="L9" s="18" t="s">
        <v>16</v>
      </c>
      <c r="M9" s="18" t="s">
        <v>1</v>
      </c>
      <c r="N9" s="18" t="s">
        <v>0</v>
      </c>
      <c r="O9" s="18" t="s">
        <v>16</v>
      </c>
      <c r="P9" s="18" t="s">
        <v>1</v>
      </c>
      <c r="Q9" s="18" t="s">
        <v>0</v>
      </c>
      <c r="R9" s="18" t="s">
        <v>16</v>
      </c>
      <c r="S9" s="18" t="s">
        <v>1</v>
      </c>
      <c r="T9" s="18" t="s">
        <v>0</v>
      </c>
      <c r="U9" s="18" t="s">
        <v>16</v>
      </c>
      <c r="V9" s="18" t="s">
        <v>1</v>
      </c>
      <c r="W9" s="18" t="s">
        <v>0</v>
      </c>
      <c r="X9" s="18" t="s">
        <v>16</v>
      </c>
      <c r="Y9" s="18" t="s">
        <v>1</v>
      </c>
      <c r="Z9" s="18" t="s">
        <v>0</v>
      </c>
      <c r="AA9" s="18" t="s">
        <v>16</v>
      </c>
      <c r="AB9" s="18" t="s">
        <v>1</v>
      </c>
      <c r="AC9" s="18" t="s">
        <v>0</v>
      </c>
      <c r="AD9" s="18" t="s">
        <v>16</v>
      </c>
      <c r="AE9" s="18" t="s">
        <v>1</v>
      </c>
      <c r="AF9" s="18" t="s">
        <v>0</v>
      </c>
      <c r="AG9" s="18" t="s">
        <v>16</v>
      </c>
      <c r="AH9" s="18" t="s">
        <v>1</v>
      </c>
      <c r="AI9" s="18" t="s">
        <v>0</v>
      </c>
      <c r="AJ9" s="18" t="s">
        <v>16</v>
      </c>
      <c r="AK9" s="18" t="s">
        <v>1</v>
      </c>
      <c r="AL9" s="18" t="s">
        <v>0</v>
      </c>
      <c r="AM9" s="18" t="s">
        <v>16</v>
      </c>
      <c r="AN9" s="18" t="s">
        <v>1</v>
      </c>
      <c r="AS9" s="73"/>
    </row>
    <row r="10" spans="1:46" s="5" customFormat="1" ht="15">
      <c r="A10" s="15" t="s">
        <v>2</v>
      </c>
      <c r="B10" s="19">
        <f aca="true" t="shared" si="0" ref="B10:G10">+B11+B18</f>
        <v>207415966.62</v>
      </c>
      <c r="C10" s="19">
        <f t="shared" si="0"/>
        <v>283337174.28000003</v>
      </c>
      <c r="D10" s="19">
        <f t="shared" si="0"/>
        <v>490753140.90000004</v>
      </c>
      <c r="E10" s="19">
        <f t="shared" si="0"/>
        <v>185262139.45000002</v>
      </c>
      <c r="F10" s="19">
        <f t="shared" si="0"/>
        <v>479579252.9</v>
      </c>
      <c r="G10" s="19">
        <f t="shared" si="0"/>
        <v>664841392.3499999</v>
      </c>
      <c r="H10" s="19">
        <f>+H11+H18</f>
        <v>290102750.90999997</v>
      </c>
      <c r="I10" s="19">
        <f>+I11+I18</f>
        <v>483209096.63000005</v>
      </c>
      <c r="J10" s="19">
        <f>+J11+J18</f>
        <v>773311847.5400001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>
        <f>+AL11+AL18</f>
        <v>682780856.9799999</v>
      </c>
      <c r="AM10" s="19">
        <f>+AM11+AM18</f>
        <v>1246125523.8100002</v>
      </c>
      <c r="AN10" s="19">
        <f>+AN11+AN18</f>
        <v>1928906380.7899997</v>
      </c>
      <c r="AO10" s="52"/>
      <c r="AP10" s="96"/>
      <c r="AQ10" s="92"/>
      <c r="AS10" s="73"/>
      <c r="AT10" s="73"/>
    </row>
    <row r="11" spans="1:45" s="5" customFormat="1" ht="15">
      <c r="A11" s="106" t="s">
        <v>3</v>
      </c>
      <c r="B11" s="107">
        <f aca="true" t="shared" si="1" ref="B11:J11">+B12</f>
        <v>184612691.62</v>
      </c>
      <c r="C11" s="107">
        <f t="shared" si="1"/>
        <v>275990884.23</v>
      </c>
      <c r="D11" s="107">
        <f t="shared" si="1"/>
        <v>460603575.85</v>
      </c>
      <c r="E11" s="107">
        <f t="shared" si="1"/>
        <v>162521498.05</v>
      </c>
      <c r="F11" s="107">
        <f t="shared" si="1"/>
        <v>472240995.63</v>
      </c>
      <c r="G11" s="107">
        <f t="shared" si="1"/>
        <v>634762493.68</v>
      </c>
      <c r="H11" s="107">
        <f t="shared" si="1"/>
        <v>267539501.64</v>
      </c>
      <c r="I11" s="107">
        <f t="shared" si="1"/>
        <v>475824978.82000005</v>
      </c>
      <c r="J11" s="107">
        <f t="shared" si="1"/>
        <v>743364480.46</v>
      </c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>
        <f>+AL12</f>
        <v>614673691.31</v>
      </c>
      <c r="AM11" s="107">
        <f>+AM12</f>
        <v>1224056858.68</v>
      </c>
      <c r="AN11" s="107">
        <f>+AN12</f>
        <v>1838730549.9899998</v>
      </c>
      <c r="AO11" s="49"/>
      <c r="AP11" s="4"/>
      <c r="AQ11" s="73"/>
      <c r="AR11" s="73"/>
      <c r="AS11" s="73"/>
    </row>
    <row r="12" spans="1:45" s="5" customFormat="1" ht="15">
      <c r="A12" s="20" t="s">
        <v>134</v>
      </c>
      <c r="B12" s="21">
        <f aca="true" t="shared" si="2" ref="B12:G12">SUM(B13:B17)</f>
        <v>184612691.62</v>
      </c>
      <c r="C12" s="21">
        <f t="shared" si="2"/>
        <v>275990884.23</v>
      </c>
      <c r="D12" s="21">
        <f t="shared" si="2"/>
        <v>460603575.85</v>
      </c>
      <c r="E12" s="21">
        <f t="shared" si="2"/>
        <v>162521498.05</v>
      </c>
      <c r="F12" s="21">
        <f t="shared" si="2"/>
        <v>472240995.63</v>
      </c>
      <c r="G12" s="21">
        <f t="shared" si="2"/>
        <v>634762493.68</v>
      </c>
      <c r="H12" s="21">
        <f>SUM(H13:H17)</f>
        <v>267539501.64</v>
      </c>
      <c r="I12" s="21">
        <f>SUM(I13:I17)</f>
        <v>475824978.82000005</v>
      </c>
      <c r="J12" s="21">
        <f>SUM(J13:J17)</f>
        <v>743364480.46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>
        <f>SUM(AL13:AL17)</f>
        <v>614673691.31</v>
      </c>
      <c r="AM12" s="21">
        <f>SUM(AM13:AM17)</f>
        <v>1224056858.68</v>
      </c>
      <c r="AN12" s="21">
        <f>SUM(AN13:AN17)</f>
        <v>1838730549.9899998</v>
      </c>
      <c r="AO12" s="49"/>
      <c r="AP12" s="4"/>
      <c r="AQ12" s="73"/>
      <c r="AR12" s="73"/>
      <c r="AS12" s="73"/>
    </row>
    <row r="13" spans="1:43" ht="15">
      <c r="A13" s="8" t="s">
        <v>206</v>
      </c>
      <c r="B13" s="6">
        <f>+'[14]PGTO por contrato'!$E$11</f>
        <v>0</v>
      </c>
      <c r="C13" s="6">
        <f>+'[14]PGTO por contrato'!$E$12+'[14]PGTO por contrato'!$E$13</f>
        <v>52016048</v>
      </c>
      <c r="D13" s="6">
        <f>B13+C13</f>
        <v>52016048</v>
      </c>
      <c r="E13" s="6">
        <f>+'[14]PGTO por contrato'!$F$11</f>
        <v>0</v>
      </c>
      <c r="F13" s="6">
        <f>+'[14]PGTO por contrato'!$F$12+'[14]PGTO por contrato'!$F$13</f>
        <v>245108479.91</v>
      </c>
      <c r="G13" s="6">
        <f>E13+F13</f>
        <v>245108479.91</v>
      </c>
      <c r="H13" s="6">
        <f>+'[14]PGTO por contrato'!$G$11</f>
        <v>0</v>
      </c>
      <c r="I13" s="6">
        <f>+'[14]PGTO por contrato'!$G$12+'[14]PGTO por contrato'!$G$13</f>
        <v>246565549.98000002</v>
      </c>
      <c r="J13" s="6">
        <f>H13+I13</f>
        <v>246565549.98000002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28">
        <f aca="true" t="shared" si="3" ref="AL13:AM17">B13+E13+H13+K13+N13+Q13+T13+W13+Z13+AC13+AF13+AI13</f>
        <v>0</v>
      </c>
      <c r="AM13" s="28">
        <f t="shared" si="3"/>
        <v>543690077.89</v>
      </c>
      <c r="AN13" s="28">
        <f>+AL13+AM13</f>
        <v>543690077.89</v>
      </c>
      <c r="AO13" s="49" t="s">
        <v>79</v>
      </c>
      <c r="AP13" s="4"/>
      <c r="AQ13" s="92"/>
    </row>
    <row r="14" spans="1:43" ht="15" hidden="1">
      <c r="A14" s="12" t="s">
        <v>207</v>
      </c>
      <c r="B14" s="6">
        <f>+'[14]PGTO por contrato'!$E$19</f>
        <v>0</v>
      </c>
      <c r="C14" s="6">
        <f>+'[14]PGTO por contrato'!$E$20+'[14]PGTO por contrato'!$E$21</f>
        <v>0</v>
      </c>
      <c r="D14" s="6">
        <f>B14+C14</f>
        <v>0</v>
      </c>
      <c r="E14" s="6">
        <f>+'[14]PGTO por contrato'!$F$19</f>
        <v>0</v>
      </c>
      <c r="F14" s="6">
        <f>+'[14]PGTO por contrato'!$F$20+'[14]PGTO por contrato'!$F$21</f>
        <v>0</v>
      </c>
      <c r="G14" s="6">
        <f>E14+F14</f>
        <v>0</v>
      </c>
      <c r="H14" s="6">
        <f>+'[14]PGTO por contrato'!$G$19</f>
        <v>0</v>
      </c>
      <c r="I14" s="6">
        <f>+'[14]PGTO por contrato'!$G$20+'[14]PGTO por contrato'!$G$21</f>
        <v>0</v>
      </c>
      <c r="J14" s="6">
        <f>H14+I14</f>
        <v>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28">
        <f t="shared" si="3"/>
        <v>0</v>
      </c>
      <c r="AM14" s="28">
        <f t="shared" si="3"/>
        <v>0</v>
      </c>
      <c r="AN14" s="28">
        <f>+AL14+AM14</f>
        <v>0</v>
      </c>
      <c r="AO14" s="49" t="s">
        <v>55</v>
      </c>
      <c r="AP14" s="4"/>
      <c r="AQ14" s="90"/>
    </row>
    <row r="15" spans="1:43" ht="15" hidden="1">
      <c r="A15" s="13" t="s">
        <v>208</v>
      </c>
      <c r="B15" s="6">
        <f>+'[14]PGTO por contrato'!$E$3+'[14]PGTO por contrato'!$E$7</f>
        <v>0</v>
      </c>
      <c r="C15" s="6">
        <f>+'[14]PGTO por contrato'!$E$4+'[14]PGTO por contrato'!$E$5+'[14]PGTO por contrato'!$E$8+'[14]PGTO por contrato'!$E$9</f>
        <v>0</v>
      </c>
      <c r="D15" s="6">
        <f>B15+C15</f>
        <v>0</v>
      </c>
      <c r="E15" s="6">
        <f>+'[14]PGTO por contrato'!$F$3+'[14]PGTO por contrato'!$F$7</f>
        <v>0</v>
      </c>
      <c r="F15" s="6">
        <f>+'[14]PGTO por contrato'!$F$4+'[14]PGTO por contrato'!$F$5+'[14]PGTO por contrato'!$F$8+'[14]PGTO por contrato'!$F$9</f>
        <v>0</v>
      </c>
      <c r="G15" s="6">
        <f>E15+F15</f>
        <v>0</v>
      </c>
      <c r="H15" s="6">
        <f>+'[14]PGTO por contrato'!$G$3+'[14]PGTO por contrato'!$G$7</f>
        <v>0</v>
      </c>
      <c r="I15" s="6">
        <f>+'[14]PGTO por contrato'!$G$4+'[14]PGTO por contrato'!$G$5+'[14]PGTO por contrato'!$G$8+'[14]PGTO por contrato'!$G$9</f>
        <v>0</v>
      </c>
      <c r="J15" s="6">
        <f>H15+I15</f>
        <v>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28">
        <f t="shared" si="3"/>
        <v>0</v>
      </c>
      <c r="AM15" s="28">
        <f t="shared" si="3"/>
        <v>0</v>
      </c>
      <c r="AN15" s="28">
        <f>+AL15+AM15</f>
        <v>0</v>
      </c>
      <c r="AO15" s="119" t="s">
        <v>96</v>
      </c>
      <c r="AP15" s="4"/>
      <c r="AQ15" s="72"/>
    </row>
    <row r="16" spans="1:43" ht="15" hidden="1">
      <c r="A16" s="12" t="s">
        <v>209</v>
      </c>
      <c r="B16" s="6">
        <f>+'[14]PGTO por contrato'!$E$15</f>
        <v>0</v>
      </c>
      <c r="C16" s="6">
        <f>+'[14]PGTO por contrato'!$E$16+'[14]PGTO por contrato'!$E$17</f>
        <v>0</v>
      </c>
      <c r="D16" s="6">
        <f>B16+C16</f>
        <v>0</v>
      </c>
      <c r="E16" s="6">
        <f>+'[14]PGTO por contrato'!$F$15</f>
        <v>0</v>
      </c>
      <c r="F16" s="6">
        <f>+'[14]PGTO por contrato'!$F$16+'[14]PGTO por contrato'!$F$17</f>
        <v>0</v>
      </c>
      <c r="G16" s="6">
        <f>E16+F16</f>
        <v>0</v>
      </c>
      <c r="H16" s="6">
        <f>+'[14]PGTO por contrato'!$G$15</f>
        <v>0</v>
      </c>
      <c r="I16" s="6">
        <f>+'[14]PGTO por contrato'!$G$16+'[14]PGTO por contrato'!$G$17</f>
        <v>0</v>
      </c>
      <c r="J16" s="6">
        <f>H16+I16</f>
        <v>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28">
        <f t="shared" si="3"/>
        <v>0</v>
      </c>
      <c r="AM16" s="28">
        <f t="shared" si="3"/>
        <v>0</v>
      </c>
      <c r="AN16" s="28">
        <f>+AL16+AM16</f>
        <v>0</v>
      </c>
      <c r="AO16" s="49" t="s">
        <v>56</v>
      </c>
      <c r="AP16" s="4"/>
      <c r="AQ16" s="72"/>
    </row>
    <row r="17" spans="1:43" ht="15">
      <c r="A17" s="12" t="s">
        <v>293</v>
      </c>
      <c r="B17" s="6">
        <f>+'[14]PGTO por contrato'!$E$151+'[14]PGTO por contrato'!$E$155</f>
        <v>184612691.62</v>
      </c>
      <c r="C17" s="6">
        <f>+'[14]PGTO por contrato'!$E$152+'[14]PGTO por contrato'!$E$153</f>
        <v>223974836.23000002</v>
      </c>
      <c r="D17" s="6">
        <f>B17+C17</f>
        <v>408587527.85</v>
      </c>
      <c r="E17" s="6">
        <f>+'[14]PGTO por contrato'!$F$151+'[14]PGTO por contrato'!$F$155</f>
        <v>162521498.05</v>
      </c>
      <c r="F17" s="6">
        <f>+'[14]PGTO por contrato'!$F$152+'[14]PGTO por contrato'!$F$153</f>
        <v>227132515.72</v>
      </c>
      <c r="G17" s="6">
        <f>E17+F17</f>
        <v>389654013.77</v>
      </c>
      <c r="H17" s="6">
        <f>+'[14]PGTO por contrato'!$G$151+'[14]PGTO por contrato'!$G$155</f>
        <v>267539501.64</v>
      </c>
      <c r="I17" s="6">
        <f>+'[14]PGTO por contrato'!$G$152+'[14]PGTO por contrato'!$G$153</f>
        <v>229259428.84</v>
      </c>
      <c r="J17" s="6">
        <f>H17+I17</f>
        <v>496798930.48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28">
        <f t="shared" si="3"/>
        <v>614673691.31</v>
      </c>
      <c r="AM17" s="28">
        <f t="shared" si="3"/>
        <v>680366780.7900001</v>
      </c>
      <c r="AN17" s="28">
        <f>+AL17+AM17</f>
        <v>1295040472.1</v>
      </c>
      <c r="AP17" s="4"/>
      <c r="AQ17" s="72"/>
    </row>
    <row r="18" spans="1:45" s="5" customFormat="1" ht="15">
      <c r="A18" s="106" t="s">
        <v>4</v>
      </c>
      <c r="B18" s="107">
        <f aca="true" t="shared" si="4" ref="B18:G18">+B19+B48</f>
        <v>22803275</v>
      </c>
      <c r="C18" s="107">
        <f t="shared" si="4"/>
        <v>7346290.050000001</v>
      </c>
      <c r="D18" s="107">
        <f t="shared" si="4"/>
        <v>30149565.05</v>
      </c>
      <c r="E18" s="107">
        <f t="shared" si="4"/>
        <v>22740641.4</v>
      </c>
      <c r="F18" s="107">
        <f t="shared" si="4"/>
        <v>7338257.2700000005</v>
      </c>
      <c r="G18" s="107">
        <f t="shared" si="4"/>
        <v>30078898.67</v>
      </c>
      <c r="H18" s="107">
        <f>+H19+H48</f>
        <v>22563249.270000003</v>
      </c>
      <c r="I18" s="107">
        <f>+I19+I48</f>
        <v>7384117.81</v>
      </c>
      <c r="J18" s="107">
        <f>+J19+J48</f>
        <v>29947367.080000002</v>
      </c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>
        <f>+AL19+AL48</f>
        <v>68107165.67</v>
      </c>
      <c r="AM18" s="107">
        <f>+AM19+AM48</f>
        <v>22068665.130000003</v>
      </c>
      <c r="AN18" s="107">
        <f>+AN19+AN48</f>
        <v>90175830.80000001</v>
      </c>
      <c r="AO18" s="49"/>
      <c r="AP18" s="4"/>
      <c r="AQ18" s="72"/>
      <c r="AR18" s="86"/>
      <c r="AS18" s="73"/>
    </row>
    <row r="19" spans="1:46" s="24" customFormat="1" ht="15">
      <c r="A19" s="104" t="s">
        <v>5</v>
      </c>
      <c r="B19" s="105">
        <f aca="true" t="shared" si="5" ref="B19:G19">+B20+B29+B33+B37+B40+B44</f>
        <v>22803275</v>
      </c>
      <c r="C19" s="105">
        <f t="shared" si="5"/>
        <v>7346290.050000001</v>
      </c>
      <c r="D19" s="105">
        <f t="shared" si="5"/>
        <v>30149565.05</v>
      </c>
      <c r="E19" s="105">
        <f t="shared" si="5"/>
        <v>22740641.4</v>
      </c>
      <c r="F19" s="105">
        <f t="shared" si="5"/>
        <v>7338257.2700000005</v>
      </c>
      <c r="G19" s="105">
        <f t="shared" si="5"/>
        <v>30078898.67</v>
      </c>
      <c r="H19" s="105">
        <f>+H20+H29+H33+H37+H40+H44</f>
        <v>22563249.270000003</v>
      </c>
      <c r="I19" s="105">
        <f>+I20+I29+I33+I37+I40+I44</f>
        <v>7384117.81</v>
      </c>
      <c r="J19" s="105">
        <f>+J20+J29+J33+J37+J40+J44</f>
        <v>29947367.080000002</v>
      </c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>
        <f>+AL20+AL29+AL33+AL37+AL40+AL44</f>
        <v>68107165.67</v>
      </c>
      <c r="AM19" s="105">
        <f>+AM20+AM29+AM33+AM37+AM40+AM44</f>
        <v>22068665.130000003</v>
      </c>
      <c r="AN19" s="105">
        <f>+AN20+AN29+AN33+AN37++AN40+AN44</f>
        <v>90175830.80000001</v>
      </c>
      <c r="AO19" s="49"/>
      <c r="AP19" s="4"/>
      <c r="AQ19" s="72"/>
      <c r="AS19" s="73"/>
      <c r="AT19" s="50"/>
    </row>
    <row r="20" spans="1:46" s="24" customFormat="1" ht="15">
      <c r="A20" s="20" t="s">
        <v>138</v>
      </c>
      <c r="B20" s="21">
        <f aca="true" t="shared" si="6" ref="B20:G20">SUM(B21:B28)</f>
        <v>0</v>
      </c>
      <c r="C20" s="21">
        <f t="shared" si="6"/>
        <v>0</v>
      </c>
      <c r="D20" s="21">
        <f t="shared" si="6"/>
        <v>0</v>
      </c>
      <c r="E20" s="21">
        <f t="shared" si="6"/>
        <v>0</v>
      </c>
      <c r="F20" s="21">
        <f t="shared" si="6"/>
        <v>0</v>
      </c>
      <c r="G20" s="21">
        <f t="shared" si="6"/>
        <v>0</v>
      </c>
      <c r="H20" s="21">
        <f>SUM(H21:H28)</f>
        <v>0</v>
      </c>
      <c r="I20" s="21">
        <f>SUM(I21:I28)</f>
        <v>0</v>
      </c>
      <c r="J20" s="21">
        <f>SUM(J21:J28)</f>
        <v>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>
        <f>SUM(AL21:AL28)</f>
        <v>0</v>
      </c>
      <c r="AM20" s="21">
        <f>SUM(AM21:AM28)</f>
        <v>0</v>
      </c>
      <c r="AN20" s="21">
        <f>SUM(AN21:AN28)</f>
        <v>0</v>
      </c>
      <c r="AO20" s="49"/>
      <c r="AP20" s="4"/>
      <c r="AQ20" s="72"/>
      <c r="AS20" s="73"/>
      <c r="AT20" s="50"/>
    </row>
    <row r="21" spans="1:45" ht="15" hidden="1">
      <c r="A21" s="8" t="s">
        <v>159</v>
      </c>
      <c r="B21" s="6">
        <f>+'[14]PGTO por contrato'!$E$23+'[14]PGTO por contrato'!$E$27</f>
        <v>0</v>
      </c>
      <c r="C21" s="6">
        <f>+'[14]PGTO por contrato'!$E$24+'[14]PGTO por contrato'!$E$25+'[14]PGTO por contrato'!$E$28+'[14]PGTO por contrato'!$E$29</f>
        <v>0</v>
      </c>
      <c r="D21" s="6">
        <f aca="true" t="shared" si="7" ref="D21:D28">+C21+B21</f>
        <v>0</v>
      </c>
      <c r="E21" s="6">
        <f>+'[14]PGTO por contrato'!$F$23+'[14]PGTO por contrato'!$F$27</f>
        <v>0</v>
      </c>
      <c r="F21" s="6">
        <f>+'[14]PGTO por contrato'!$F$24+'[14]PGTO por contrato'!$F$25+'[14]PGTO por contrato'!$F$28+'[14]PGTO por contrato'!$F$29</f>
        <v>0</v>
      </c>
      <c r="G21" s="6">
        <f aca="true" t="shared" si="8" ref="G21:G28">+F21+E21</f>
        <v>0</v>
      </c>
      <c r="H21" s="6">
        <f>+'[14]PGTO por contrato'!$G$23+'[14]PGTO por contrato'!$G$27</f>
        <v>0</v>
      </c>
      <c r="I21" s="6">
        <f>+'[14]PGTO por contrato'!$G$24+'[14]PGTO por contrato'!$G$25+'[14]PGTO por contrato'!$G$28+'[14]PGTO por contrato'!$G$29</f>
        <v>0</v>
      </c>
      <c r="J21" s="6">
        <f aca="true" t="shared" si="9" ref="J21:J28">+I21+H21</f>
        <v>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28">
        <f aca="true" t="shared" si="10" ref="AL21:AM28">B21+E21+H21+K21+N21+Q21+T21+W21+Z21+AC21+AF21+AI21</f>
        <v>0</v>
      </c>
      <c r="AM21" s="28">
        <f t="shared" si="10"/>
        <v>0</v>
      </c>
      <c r="AN21" s="28">
        <f>+AL21+AM21</f>
        <v>0</v>
      </c>
      <c r="AO21" s="91" t="s">
        <v>268</v>
      </c>
      <c r="AP21" s="4"/>
      <c r="AQ21" s="72"/>
      <c r="AS21" s="73"/>
    </row>
    <row r="22" spans="1:46" ht="15">
      <c r="A22" s="8" t="s">
        <v>162</v>
      </c>
      <c r="B22" s="6">
        <f>+'[14]PGTO por contrato'!$E$39</f>
        <v>0</v>
      </c>
      <c r="C22" s="6">
        <f>+'[14]PGTO por contrato'!$E$40+'[14]PGTO por contrato'!$E$41</f>
        <v>0</v>
      </c>
      <c r="D22" s="6">
        <f t="shared" si="7"/>
        <v>0</v>
      </c>
      <c r="E22" s="6">
        <f>+'[14]PGTO por contrato'!$F$39</f>
        <v>0</v>
      </c>
      <c r="F22" s="6">
        <f>+'[14]PGTO por contrato'!$F$40+'[14]PGTO por contrato'!$F$41</f>
        <v>0</v>
      </c>
      <c r="G22" s="6">
        <f t="shared" si="8"/>
        <v>0</v>
      </c>
      <c r="H22" s="6">
        <f>+'[14]PGTO por contrato'!$G$39</f>
        <v>0</v>
      </c>
      <c r="I22" s="6">
        <f>+'[14]PGTO por contrato'!$G$40+'[14]PGTO por contrato'!$G$41</f>
        <v>0</v>
      </c>
      <c r="J22" s="6">
        <f t="shared" si="9"/>
        <v>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28">
        <f t="shared" si="10"/>
        <v>0</v>
      </c>
      <c r="AM22" s="28">
        <f t="shared" si="10"/>
        <v>0</v>
      </c>
      <c r="AN22" s="28">
        <f aca="true" t="shared" si="11" ref="AN22:AN45">+AL22+AM22</f>
        <v>0</v>
      </c>
      <c r="AO22" s="91" t="s">
        <v>70</v>
      </c>
      <c r="AP22" s="88"/>
      <c r="AQ22" s="72"/>
      <c r="AS22" s="73"/>
      <c r="AT22" s="92"/>
    </row>
    <row r="23" spans="1:45" ht="15" hidden="1">
      <c r="A23" s="8" t="s">
        <v>163</v>
      </c>
      <c r="B23" s="6">
        <f>+'[14]PGTO por contrato'!$E$43</f>
        <v>0</v>
      </c>
      <c r="C23" s="6">
        <f>+'[14]PGTO por contrato'!$E$44+'[14]PGTO por contrato'!$E$45</f>
        <v>0</v>
      </c>
      <c r="D23" s="6">
        <f t="shared" si="7"/>
        <v>0</v>
      </c>
      <c r="E23" s="6">
        <f>+'[14]PGTO por contrato'!$F$43</f>
        <v>0</v>
      </c>
      <c r="F23" s="6">
        <f>+'[14]PGTO por contrato'!$F$44+'[14]PGTO por contrato'!$F$45</f>
        <v>0</v>
      </c>
      <c r="G23" s="6">
        <f t="shared" si="8"/>
        <v>0</v>
      </c>
      <c r="H23" s="6">
        <f>+'[14]PGTO por contrato'!$G$43</f>
        <v>0</v>
      </c>
      <c r="I23" s="6">
        <f>+'[14]PGTO por contrato'!$G$44+'[14]PGTO por contrato'!$G$45</f>
        <v>0</v>
      </c>
      <c r="J23" s="6">
        <f t="shared" si="9"/>
        <v>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28">
        <f t="shared" si="10"/>
        <v>0</v>
      </c>
      <c r="AM23" s="28">
        <f t="shared" si="10"/>
        <v>0</v>
      </c>
      <c r="AN23" s="28">
        <f t="shared" si="11"/>
        <v>0</v>
      </c>
      <c r="AO23" s="91" t="s">
        <v>71</v>
      </c>
      <c r="AP23" s="88"/>
      <c r="AQ23" s="72"/>
      <c r="AS23" s="73"/>
    </row>
    <row r="24" spans="1:45" ht="15">
      <c r="A24" s="8" t="s">
        <v>164</v>
      </c>
      <c r="B24" s="6">
        <f>+'[14]PGTO por contrato'!$E$47</f>
        <v>0</v>
      </c>
      <c r="C24" s="28">
        <f>+'[14]PGTO por contrato'!$E$48+'[14]PGTO por contrato'!$E$49</f>
        <v>0</v>
      </c>
      <c r="D24" s="6">
        <f t="shared" si="7"/>
        <v>0</v>
      </c>
      <c r="E24" s="6">
        <f>+'[14]PGTO por contrato'!$F$47</f>
        <v>0</v>
      </c>
      <c r="F24" s="28">
        <f>+'[14]PGTO por contrato'!$F$48+'[14]PGTO por contrato'!$F$49</f>
        <v>0</v>
      </c>
      <c r="G24" s="6">
        <f t="shared" si="8"/>
        <v>0</v>
      </c>
      <c r="H24" s="6">
        <f>+'[14]PGTO por contrato'!$G$47</f>
        <v>0</v>
      </c>
      <c r="I24" s="28">
        <f>+'[14]PGTO por contrato'!$G$48+'[14]PGTO por contrato'!$G$49</f>
        <v>0</v>
      </c>
      <c r="J24" s="6">
        <f t="shared" si="9"/>
        <v>0</v>
      </c>
      <c r="K24" s="6"/>
      <c r="L24" s="28"/>
      <c r="M24" s="6"/>
      <c r="N24" s="6"/>
      <c r="O24" s="28"/>
      <c r="P24" s="6"/>
      <c r="Q24" s="6"/>
      <c r="R24" s="28"/>
      <c r="S24" s="6"/>
      <c r="T24" s="6"/>
      <c r="U24" s="28"/>
      <c r="V24" s="6"/>
      <c r="W24" s="6"/>
      <c r="X24" s="28"/>
      <c r="Y24" s="6"/>
      <c r="Z24" s="6"/>
      <c r="AA24" s="28"/>
      <c r="AB24" s="6"/>
      <c r="AC24" s="6"/>
      <c r="AD24" s="28"/>
      <c r="AE24" s="6"/>
      <c r="AF24" s="6"/>
      <c r="AG24" s="28"/>
      <c r="AH24" s="6"/>
      <c r="AI24" s="6"/>
      <c r="AJ24" s="28"/>
      <c r="AK24" s="6"/>
      <c r="AL24" s="28">
        <f t="shared" si="10"/>
        <v>0</v>
      </c>
      <c r="AM24" s="28">
        <f t="shared" si="10"/>
        <v>0</v>
      </c>
      <c r="AN24" s="28">
        <f t="shared" si="11"/>
        <v>0</v>
      </c>
      <c r="AO24" s="91" t="s">
        <v>146</v>
      </c>
      <c r="AP24" s="88"/>
      <c r="AQ24" s="72"/>
      <c r="AS24" s="73"/>
    </row>
    <row r="25" spans="1:45" ht="15">
      <c r="A25" s="8" t="s">
        <v>165</v>
      </c>
      <c r="B25" s="6">
        <f>+'[14]PGTO por contrato'!$E$51</f>
        <v>0</v>
      </c>
      <c r="C25" s="6">
        <f>+'[14]PGTO por contrato'!$E$52+'[14]PGTO por contrato'!$E$53</f>
        <v>0</v>
      </c>
      <c r="D25" s="6">
        <f t="shared" si="7"/>
        <v>0</v>
      </c>
      <c r="E25" s="6">
        <f>+'[14]PGTO por contrato'!$F$51</f>
        <v>0</v>
      </c>
      <c r="F25" s="6">
        <f>+'[14]PGTO por contrato'!$F$52+'[14]PGTO por contrato'!$F$53</f>
        <v>0</v>
      </c>
      <c r="G25" s="6">
        <f t="shared" si="8"/>
        <v>0</v>
      </c>
      <c r="H25" s="6">
        <f>+'[14]PGTO por contrato'!$G$51</f>
        <v>0</v>
      </c>
      <c r="I25" s="6">
        <f>+'[14]PGTO por contrato'!$G$52+'[14]PGTO por contrato'!$G$53</f>
        <v>0</v>
      </c>
      <c r="J25" s="6">
        <f t="shared" si="9"/>
        <v>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28">
        <f t="shared" si="10"/>
        <v>0</v>
      </c>
      <c r="AM25" s="28">
        <f t="shared" si="10"/>
        <v>0</v>
      </c>
      <c r="AN25" s="28">
        <f>+AL25+AM25</f>
        <v>0</v>
      </c>
      <c r="AO25" s="91" t="s">
        <v>147</v>
      </c>
      <c r="AP25" s="88"/>
      <c r="AQ25" s="72"/>
      <c r="AS25" s="73"/>
    </row>
    <row r="26" spans="1:45" ht="15">
      <c r="A26" s="8" t="s">
        <v>166</v>
      </c>
      <c r="B26" s="6">
        <f>+'[14]PGTO por contrato'!$E$51</f>
        <v>0</v>
      </c>
      <c r="C26" s="6">
        <f>+'[14]PGTO por contrato'!$E$56+'[14]PGTO por contrato'!$E$57</f>
        <v>0</v>
      </c>
      <c r="D26" s="6">
        <f t="shared" si="7"/>
        <v>0</v>
      </c>
      <c r="E26" s="6">
        <f>+'[14]PGTO por contrato'!$F$51</f>
        <v>0</v>
      </c>
      <c r="F26" s="6">
        <f>+'[14]PGTO por contrato'!$F$56+'[14]PGTO por contrato'!$F$57</f>
        <v>0</v>
      </c>
      <c r="G26" s="6">
        <f t="shared" si="8"/>
        <v>0</v>
      </c>
      <c r="H26" s="6">
        <f>+'[14]PGTO por contrato'!$G$51</f>
        <v>0</v>
      </c>
      <c r="I26" s="6">
        <f>+'[14]PGTO por contrato'!$G$56+'[14]PGTO por contrato'!$G$57</f>
        <v>0</v>
      </c>
      <c r="J26" s="6">
        <f t="shared" si="9"/>
        <v>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28">
        <f t="shared" si="10"/>
        <v>0</v>
      </c>
      <c r="AM26" s="28">
        <f t="shared" si="10"/>
        <v>0</v>
      </c>
      <c r="AN26" s="28">
        <f>+AL26+AM26</f>
        <v>0</v>
      </c>
      <c r="AO26" s="91" t="s">
        <v>148</v>
      </c>
      <c r="AP26" s="88"/>
      <c r="AQ26" s="72"/>
      <c r="AS26" s="73"/>
    </row>
    <row r="27" spans="1:45" ht="15">
      <c r="A27" s="8" t="s">
        <v>210</v>
      </c>
      <c r="B27" s="6">
        <f>+'[14]PGTO por contrato'!$E$59</f>
        <v>0</v>
      </c>
      <c r="C27" s="6">
        <f>+'[14]PGTO por contrato'!$E$60+'[14]PGTO por contrato'!$E$61</f>
        <v>0</v>
      </c>
      <c r="D27" s="6">
        <f t="shared" si="7"/>
        <v>0</v>
      </c>
      <c r="E27" s="6">
        <f>+'[14]PGTO por contrato'!$F$59</f>
        <v>0</v>
      </c>
      <c r="F27" s="6">
        <f>+'[14]PGTO por contrato'!$F$60+'[14]PGTO por contrato'!$F$61</f>
        <v>0</v>
      </c>
      <c r="G27" s="6">
        <f t="shared" si="8"/>
        <v>0</v>
      </c>
      <c r="H27" s="6">
        <f>+'[14]PGTO por contrato'!$G$59</f>
        <v>0</v>
      </c>
      <c r="I27" s="6">
        <f>+'[14]PGTO por contrato'!$G$60+'[14]PGTO por contrato'!$G$61</f>
        <v>0</v>
      </c>
      <c r="J27" s="6">
        <f t="shared" si="9"/>
        <v>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28">
        <f t="shared" si="10"/>
        <v>0</v>
      </c>
      <c r="AM27" s="28">
        <f t="shared" si="10"/>
        <v>0</v>
      </c>
      <c r="AN27" s="28">
        <f>+AL27+AM27</f>
        <v>0</v>
      </c>
      <c r="AO27" s="91" t="s">
        <v>149</v>
      </c>
      <c r="AP27" s="88"/>
      <c r="AQ27" s="72"/>
      <c r="AS27" s="73"/>
    </row>
    <row r="28" spans="1:45" ht="15">
      <c r="A28" s="8" t="s">
        <v>211</v>
      </c>
      <c r="B28" s="6">
        <f>+'[14]PGTO por contrato'!$E$63</f>
        <v>0</v>
      </c>
      <c r="C28" s="6">
        <f>+'[14]PGTO por contrato'!$E$64+'[14]PGTO por contrato'!$E$65</f>
        <v>0</v>
      </c>
      <c r="D28" s="6">
        <f t="shared" si="7"/>
        <v>0</v>
      </c>
      <c r="E28" s="6">
        <f>+'[14]PGTO por contrato'!$F$63</f>
        <v>0</v>
      </c>
      <c r="F28" s="6">
        <f>+'[14]PGTO por contrato'!$F$64+'[14]PGTO por contrato'!$F$65</f>
        <v>0</v>
      </c>
      <c r="G28" s="6">
        <f t="shared" si="8"/>
        <v>0</v>
      </c>
      <c r="H28" s="6">
        <f>+'[14]PGTO por contrato'!$G$63</f>
        <v>0</v>
      </c>
      <c r="I28" s="6">
        <f>+'[14]PGTO por contrato'!$G$64+'[14]PGTO por contrato'!$G$65</f>
        <v>0</v>
      </c>
      <c r="J28" s="6">
        <f t="shared" si="9"/>
        <v>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28">
        <f t="shared" si="10"/>
        <v>0</v>
      </c>
      <c r="AM28" s="28">
        <f t="shared" si="10"/>
        <v>0</v>
      </c>
      <c r="AN28" s="28">
        <f>+AL28+AM28</f>
        <v>0</v>
      </c>
      <c r="AO28" s="91" t="s">
        <v>150</v>
      </c>
      <c r="AP28" s="88"/>
      <c r="AQ28" s="72"/>
      <c r="AS28" s="73"/>
    </row>
    <row r="29" spans="1:45" ht="15">
      <c r="A29" s="20" t="s">
        <v>137</v>
      </c>
      <c r="B29" s="21">
        <f aca="true" t="shared" si="12" ref="B29:G29">SUM(B30:B32)</f>
        <v>0</v>
      </c>
      <c r="C29" s="21">
        <f t="shared" si="12"/>
        <v>0</v>
      </c>
      <c r="D29" s="21">
        <f t="shared" si="12"/>
        <v>0</v>
      </c>
      <c r="E29" s="21">
        <f t="shared" si="12"/>
        <v>0</v>
      </c>
      <c r="F29" s="21">
        <f t="shared" si="12"/>
        <v>0</v>
      </c>
      <c r="G29" s="21">
        <f t="shared" si="12"/>
        <v>0</v>
      </c>
      <c r="H29" s="21">
        <f>SUM(H30:H32)</f>
        <v>0</v>
      </c>
      <c r="I29" s="21">
        <f>SUM(I30:I32)</f>
        <v>0</v>
      </c>
      <c r="J29" s="21">
        <f>SUM(J30:J32)</f>
        <v>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>
        <f>SUM(AL30:AL32)</f>
        <v>0</v>
      </c>
      <c r="AM29" s="21">
        <f>SUM(AM30:AM32)</f>
        <v>0</v>
      </c>
      <c r="AN29" s="21">
        <f>SUM(AN30:AN32)</f>
        <v>0</v>
      </c>
      <c r="AO29" s="91"/>
      <c r="AP29" s="88"/>
      <c r="AQ29" s="72"/>
      <c r="AS29" s="73"/>
    </row>
    <row r="30" spans="1:45" ht="15">
      <c r="A30" s="8" t="s">
        <v>168</v>
      </c>
      <c r="B30" s="6">
        <f>+'[14]PGTO por contrato'!$E$79</f>
        <v>0</v>
      </c>
      <c r="C30" s="6">
        <f>+'[14]PGTO por contrato'!$E$80+'[14]PGTO por contrato'!$E$81</f>
        <v>0</v>
      </c>
      <c r="D30" s="6">
        <f>+C30+B30</f>
        <v>0</v>
      </c>
      <c r="E30" s="6">
        <f>+'[14]PGTO por contrato'!$F$79</f>
        <v>0</v>
      </c>
      <c r="F30" s="6">
        <f>+'[14]PGTO por contrato'!$F$80+'[14]PGTO por contrato'!$F$81</f>
        <v>0</v>
      </c>
      <c r="G30" s="6">
        <f>+F30+E30</f>
        <v>0</v>
      </c>
      <c r="H30" s="6">
        <f>+'[14]PGTO por contrato'!$G$79</f>
        <v>0</v>
      </c>
      <c r="I30" s="6">
        <f>+'[14]PGTO por contrato'!$G$80+'[14]PGTO por contrato'!$G$81</f>
        <v>0</v>
      </c>
      <c r="J30" s="6">
        <f>+I30+H30</f>
        <v>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28">
        <f aca="true" t="shared" si="13" ref="AL30:AM32">B30+E30+H30+K30+N30+Q30+T30+W30+Z30+AC30+AF30+AI30</f>
        <v>0</v>
      </c>
      <c r="AM30" s="28">
        <f t="shared" si="13"/>
        <v>0</v>
      </c>
      <c r="AN30" s="28">
        <f t="shared" si="11"/>
        <v>0</v>
      </c>
      <c r="AO30" s="91" t="s">
        <v>58</v>
      </c>
      <c r="AP30" s="88"/>
      <c r="AQ30" s="72"/>
      <c r="AS30" s="73"/>
    </row>
    <row r="31" spans="1:45" ht="15">
      <c r="A31" s="8" t="s">
        <v>169</v>
      </c>
      <c r="B31" s="6">
        <f>+'[14]PGTO por contrato'!$E$83</f>
        <v>0</v>
      </c>
      <c r="C31" s="6">
        <f>+'[14]PGTO por contrato'!$E$84+'[14]PGTO por contrato'!$E$85</f>
        <v>0</v>
      </c>
      <c r="D31" s="6">
        <f>+C31+B31</f>
        <v>0</v>
      </c>
      <c r="E31" s="6">
        <f>+'[14]PGTO por contrato'!$F$83</f>
        <v>0</v>
      </c>
      <c r="F31" s="6">
        <f>+'[14]PGTO por contrato'!$F$84+'[14]PGTO por contrato'!$F$85</f>
        <v>0</v>
      </c>
      <c r="G31" s="6">
        <f>+F31+E31</f>
        <v>0</v>
      </c>
      <c r="H31" s="6">
        <f>+'[14]PGTO por contrato'!$G$83</f>
        <v>0</v>
      </c>
      <c r="I31" s="6">
        <f>+'[14]PGTO por contrato'!$G$84+'[14]PGTO por contrato'!$G$85</f>
        <v>0</v>
      </c>
      <c r="J31" s="6">
        <f>+I31+H31</f>
        <v>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28">
        <f t="shared" si="13"/>
        <v>0</v>
      </c>
      <c r="AM31" s="28">
        <f t="shared" si="13"/>
        <v>0</v>
      </c>
      <c r="AN31" s="28">
        <f t="shared" si="11"/>
        <v>0</v>
      </c>
      <c r="AO31" s="91" t="s">
        <v>88</v>
      </c>
      <c r="AP31" s="88"/>
      <c r="AQ31" s="72"/>
      <c r="AS31" s="73"/>
    </row>
    <row r="32" spans="1:45" ht="15">
      <c r="A32" s="8" t="s">
        <v>171</v>
      </c>
      <c r="B32" s="6">
        <f>+'[14]PGTO por contrato'!$E$87</f>
        <v>0</v>
      </c>
      <c r="C32" s="6">
        <f>+'[14]PGTO por contrato'!$E$88+'[14]PGTO por contrato'!$E$89</f>
        <v>0</v>
      </c>
      <c r="D32" s="6">
        <f>+C32+B32</f>
        <v>0</v>
      </c>
      <c r="E32" s="6">
        <f>+'[14]PGTO por contrato'!$F$87</f>
        <v>0</v>
      </c>
      <c r="F32" s="6">
        <f>+'[14]PGTO por contrato'!$F$88+'[14]PGTO por contrato'!$F$89</f>
        <v>0</v>
      </c>
      <c r="G32" s="6">
        <f>+F32+E32</f>
        <v>0</v>
      </c>
      <c r="H32" s="6">
        <f>+'[14]PGTO por contrato'!$G$87</f>
        <v>0</v>
      </c>
      <c r="I32" s="6">
        <f>+'[14]PGTO por contrato'!$G$88+'[14]PGTO por contrato'!$G$89</f>
        <v>0</v>
      </c>
      <c r="J32" s="6">
        <f>+I32+H32</f>
        <v>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28">
        <f t="shared" si="13"/>
        <v>0</v>
      </c>
      <c r="AM32" s="28">
        <f t="shared" si="13"/>
        <v>0</v>
      </c>
      <c r="AN32" s="28">
        <f t="shared" si="11"/>
        <v>0</v>
      </c>
      <c r="AO32" s="91" t="s">
        <v>82</v>
      </c>
      <c r="AP32" s="88"/>
      <c r="AQ32" s="72"/>
      <c r="AS32" s="73"/>
    </row>
    <row r="33" spans="1:45" ht="15">
      <c r="A33" s="20" t="s">
        <v>136</v>
      </c>
      <c r="B33" s="21">
        <f aca="true" t="shared" si="14" ref="B33:G33">SUM(B34:B36)</f>
        <v>0</v>
      </c>
      <c r="C33" s="21">
        <f t="shared" si="14"/>
        <v>0</v>
      </c>
      <c r="D33" s="21">
        <f t="shared" si="14"/>
        <v>0</v>
      </c>
      <c r="E33" s="21">
        <f t="shared" si="14"/>
        <v>0</v>
      </c>
      <c r="F33" s="21">
        <f t="shared" si="14"/>
        <v>0</v>
      </c>
      <c r="G33" s="21">
        <f t="shared" si="14"/>
        <v>0</v>
      </c>
      <c r="H33" s="21">
        <f>SUM(H34:H36)</f>
        <v>0</v>
      </c>
      <c r="I33" s="21">
        <f>SUM(I34:I36)</f>
        <v>0</v>
      </c>
      <c r="J33" s="21">
        <f>SUM(J34:J36)</f>
        <v>0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>
        <f>SUM(AL34:AL36)</f>
        <v>0</v>
      </c>
      <c r="AM33" s="21">
        <f>SUM(AM34:AM36)</f>
        <v>0</v>
      </c>
      <c r="AN33" s="21">
        <f>SUM(AN34:AN36)</f>
        <v>0</v>
      </c>
      <c r="AO33" s="91"/>
      <c r="AP33" s="88"/>
      <c r="AQ33" s="72"/>
      <c r="AS33" s="73"/>
    </row>
    <row r="34" spans="1:45" ht="15">
      <c r="A34" s="8" t="s">
        <v>175</v>
      </c>
      <c r="B34" s="6">
        <f>+'[14]PGTO por contrato'!$E$67</f>
        <v>0</v>
      </c>
      <c r="C34" s="6">
        <f>+'[14]PGTO por contrato'!$E$68+'[14]PGTO por contrato'!$E$69</f>
        <v>0</v>
      </c>
      <c r="D34" s="6">
        <f>+C34+B34</f>
        <v>0</v>
      </c>
      <c r="E34" s="6">
        <f>+'[14]PGTO por contrato'!$F$67</f>
        <v>0</v>
      </c>
      <c r="F34" s="6">
        <f>+'[14]PGTO por contrato'!$F$68+'[14]PGTO por contrato'!$F$69</f>
        <v>0</v>
      </c>
      <c r="G34" s="6">
        <f>+F34+E34</f>
        <v>0</v>
      </c>
      <c r="H34" s="6">
        <f>+'[14]PGTO por contrato'!$G$67</f>
        <v>0</v>
      </c>
      <c r="I34" s="6">
        <f>+'[14]PGTO por contrato'!$G$68+'[14]PGTO por contrato'!$G$69</f>
        <v>0</v>
      </c>
      <c r="J34" s="6">
        <f>+I34+H34</f>
        <v>0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28">
        <f aca="true" t="shared" si="15" ref="AL34:AM36">B34+E34+H34+K34+N34+Q34+T34+W34+Z34+AC34+AF34+AI34</f>
        <v>0</v>
      </c>
      <c r="AM34" s="28">
        <f t="shared" si="15"/>
        <v>0</v>
      </c>
      <c r="AN34" s="28">
        <f t="shared" si="11"/>
        <v>0</v>
      </c>
      <c r="AO34" s="91" t="s">
        <v>77</v>
      </c>
      <c r="AP34" s="4"/>
      <c r="AQ34" s="72"/>
      <c r="AS34" s="73"/>
    </row>
    <row r="35" spans="1:45" ht="15">
      <c r="A35" s="8" t="s">
        <v>176</v>
      </c>
      <c r="B35" s="6">
        <f>+'[14]PGTO por contrato'!$E$71</f>
        <v>0</v>
      </c>
      <c r="C35" s="6">
        <f>+'[14]PGTO por contrato'!$E$72+'[14]PGTO por contrato'!$E$73</f>
        <v>0</v>
      </c>
      <c r="D35" s="6">
        <f>+C35+B35</f>
        <v>0</v>
      </c>
      <c r="E35" s="6">
        <f>+'[14]PGTO por contrato'!$F$71</f>
        <v>0</v>
      </c>
      <c r="F35" s="6">
        <f>+'[14]PGTO por contrato'!$F$72+'[14]PGTO por contrato'!$F$73</f>
        <v>0</v>
      </c>
      <c r="G35" s="6">
        <f>+F35+E35</f>
        <v>0</v>
      </c>
      <c r="H35" s="6">
        <f>+'[14]PGTO por contrato'!$G$71</f>
        <v>0</v>
      </c>
      <c r="I35" s="6">
        <f>+'[14]PGTO por contrato'!$G$72+'[14]PGTO por contrato'!$G$73</f>
        <v>0</v>
      </c>
      <c r="J35" s="6">
        <f>+I35+H35</f>
        <v>0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28">
        <f t="shared" si="15"/>
        <v>0</v>
      </c>
      <c r="AM35" s="28">
        <f t="shared" si="15"/>
        <v>0</v>
      </c>
      <c r="AN35" s="28">
        <f t="shared" si="11"/>
        <v>0</v>
      </c>
      <c r="AO35" s="91" t="s">
        <v>78</v>
      </c>
      <c r="AP35" s="4"/>
      <c r="AQ35" s="72"/>
      <c r="AS35" s="73"/>
    </row>
    <row r="36" spans="1:45" ht="15">
      <c r="A36" s="8" t="s">
        <v>177</v>
      </c>
      <c r="B36" s="6">
        <f>+'[14]PGTO por contrato'!$E$75</f>
        <v>0</v>
      </c>
      <c r="C36" s="6">
        <f>+'[14]PGTO por contrato'!$E$76+'[14]PGTO por contrato'!$E$77</f>
        <v>0</v>
      </c>
      <c r="D36" s="6">
        <f>+C36+B36</f>
        <v>0</v>
      </c>
      <c r="E36" s="6">
        <f>+'[14]PGTO por contrato'!$F$75</f>
        <v>0</v>
      </c>
      <c r="F36" s="6">
        <f>+'[14]PGTO por contrato'!$F$76+'[14]PGTO por contrato'!$F$77</f>
        <v>0</v>
      </c>
      <c r="G36" s="6">
        <f>+F36+E36</f>
        <v>0</v>
      </c>
      <c r="H36" s="6">
        <f>+'[14]PGTO por contrato'!$G$75</f>
        <v>0</v>
      </c>
      <c r="I36" s="6">
        <f>+'[14]PGTO por contrato'!$G$76+'[14]PGTO por contrato'!$G$77</f>
        <v>0</v>
      </c>
      <c r="J36" s="6">
        <f>+I36+H36</f>
        <v>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28">
        <f t="shared" si="15"/>
        <v>0</v>
      </c>
      <c r="AM36" s="28">
        <f t="shared" si="15"/>
        <v>0</v>
      </c>
      <c r="AN36" s="28">
        <f t="shared" si="11"/>
        <v>0</v>
      </c>
      <c r="AO36" s="91" t="s">
        <v>83</v>
      </c>
      <c r="AP36" s="4"/>
      <c r="AQ36" s="72"/>
      <c r="AS36" s="73"/>
    </row>
    <row r="37" spans="1:45" ht="15">
      <c r="A37" s="20" t="s">
        <v>135</v>
      </c>
      <c r="B37" s="21">
        <f aca="true" t="shared" si="16" ref="B37:G37">SUM(B38:B39)</f>
        <v>0</v>
      </c>
      <c r="C37" s="21">
        <f t="shared" si="16"/>
        <v>0</v>
      </c>
      <c r="D37" s="21">
        <f t="shared" si="16"/>
        <v>0</v>
      </c>
      <c r="E37" s="21">
        <f t="shared" si="16"/>
        <v>0</v>
      </c>
      <c r="F37" s="21">
        <f t="shared" si="16"/>
        <v>0</v>
      </c>
      <c r="G37" s="21">
        <f t="shared" si="16"/>
        <v>0</v>
      </c>
      <c r="H37" s="21">
        <f>SUM(H38:H39)</f>
        <v>0</v>
      </c>
      <c r="I37" s="21">
        <f>SUM(I38:I39)</f>
        <v>0</v>
      </c>
      <c r="J37" s="21">
        <f>SUM(J38:J39)</f>
        <v>0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>
        <f>SUM(AL38:AL39)</f>
        <v>0</v>
      </c>
      <c r="AM37" s="21">
        <f>SUM(AM38:AM39)</f>
        <v>0</v>
      </c>
      <c r="AN37" s="21">
        <f>SUM(AN38:AN39)</f>
        <v>0</v>
      </c>
      <c r="AO37" s="91"/>
      <c r="AP37" s="72"/>
      <c r="AQ37" s="72"/>
      <c r="AS37" s="73"/>
    </row>
    <row r="38" spans="1:45" ht="15">
      <c r="A38" s="13" t="s">
        <v>179</v>
      </c>
      <c r="B38" s="6">
        <f>+'[14]PGTO por contrato'!$E$91</f>
        <v>0</v>
      </c>
      <c r="C38" s="6">
        <f>+'[14]PGTO por contrato'!$E$92+'[14]PGTO por contrato'!$E$93</f>
        <v>0</v>
      </c>
      <c r="D38" s="6">
        <f>+C38+B38</f>
        <v>0</v>
      </c>
      <c r="E38" s="6">
        <f>+'[14]PGTO por contrato'!$F$91</f>
        <v>0</v>
      </c>
      <c r="F38" s="6">
        <f>+'[14]PGTO por contrato'!$F$92+'[14]PGTO por contrato'!$F$93</f>
        <v>0</v>
      </c>
      <c r="G38" s="6">
        <f>+F38+E38</f>
        <v>0</v>
      </c>
      <c r="H38" s="6">
        <f>+'[14]PGTO por contrato'!$G$91</f>
        <v>0</v>
      </c>
      <c r="I38" s="6">
        <f>+'[14]PGTO por contrato'!$G$92+'[14]PGTO por contrato'!$G$93</f>
        <v>0</v>
      </c>
      <c r="J38" s="6">
        <f>+I38+H38</f>
        <v>0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28">
        <f>B38+E38+H38+K38+N38+Q38+T38+W38+Z38+AC38+AF38+AI38</f>
        <v>0</v>
      </c>
      <c r="AM38" s="28">
        <f>C38+F38+I38+L38+O38+R38+U38+X38+AA38+AD38+AG38+AJ38</f>
        <v>0</v>
      </c>
      <c r="AN38" s="28">
        <f t="shared" si="11"/>
        <v>0</v>
      </c>
      <c r="AO38" s="91" t="s">
        <v>92</v>
      </c>
      <c r="AP38" s="4"/>
      <c r="AQ38" s="72"/>
      <c r="AS38" s="73"/>
    </row>
    <row r="39" spans="1:45" ht="15">
      <c r="A39" s="13" t="s">
        <v>180</v>
      </c>
      <c r="B39" s="6">
        <f>+'[14]PGTO por contrato'!$E$95</f>
        <v>0</v>
      </c>
      <c r="C39" s="6">
        <f>+'[14]PGTO por contrato'!$E$96+'[14]PGTO por contrato'!$E$97</f>
        <v>0</v>
      </c>
      <c r="D39" s="6">
        <f>+C39+B39</f>
        <v>0</v>
      </c>
      <c r="E39" s="6">
        <f>+'[14]PGTO por contrato'!$F$95</f>
        <v>0</v>
      </c>
      <c r="F39" s="6">
        <f>+'[14]PGTO por contrato'!$F$96+'[14]PGTO por contrato'!$F$97</f>
        <v>0</v>
      </c>
      <c r="G39" s="6">
        <f>+F39+E39</f>
        <v>0</v>
      </c>
      <c r="H39" s="6">
        <f>+'[14]PGTO por contrato'!$G$95</f>
        <v>0</v>
      </c>
      <c r="I39" s="6">
        <f>+'[14]PGTO por contrato'!$G$96+'[14]PGTO por contrato'!$G$97</f>
        <v>0</v>
      </c>
      <c r="J39" s="6">
        <f>+I39+H39</f>
        <v>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28">
        <f>B39+E39+H39+K39+N39+Q39+T39+W39+Z39+AC39+AF39+AI39</f>
        <v>0</v>
      </c>
      <c r="AM39" s="28">
        <f>C39+F39+I39+L39+O39+R39+U39+X39+AA39+AD39+AG39+AJ39</f>
        <v>0</v>
      </c>
      <c r="AN39" s="28">
        <f t="shared" si="11"/>
        <v>0</v>
      </c>
      <c r="AO39" s="91" t="s">
        <v>93</v>
      </c>
      <c r="AP39" s="4"/>
      <c r="AQ39" s="72"/>
      <c r="AS39" s="73"/>
    </row>
    <row r="40" spans="1:45" ht="15">
      <c r="A40" s="20" t="s">
        <v>139</v>
      </c>
      <c r="B40" s="21">
        <f aca="true" t="shared" si="17" ref="B40:G40">SUM(B41:B43)</f>
        <v>12246352.7</v>
      </c>
      <c r="C40" s="21">
        <f t="shared" si="17"/>
        <v>7282651.380000001</v>
      </c>
      <c r="D40" s="21">
        <f t="shared" si="17"/>
        <v>19529004.080000002</v>
      </c>
      <c r="E40" s="21">
        <f t="shared" si="17"/>
        <v>12183719.1</v>
      </c>
      <c r="F40" s="21">
        <f t="shared" si="17"/>
        <v>7338257.2700000005</v>
      </c>
      <c r="G40" s="21">
        <f t="shared" si="17"/>
        <v>19521976.37</v>
      </c>
      <c r="H40" s="21">
        <f>SUM(H41:H43)</f>
        <v>12006326.970000003</v>
      </c>
      <c r="I40" s="21">
        <f>SUM(I41:I43)</f>
        <v>7384117.81</v>
      </c>
      <c r="J40" s="21">
        <f>SUM(J41:J43)</f>
        <v>19390444.78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>
        <f>SUM(AL41:AL43)</f>
        <v>36436398.77</v>
      </c>
      <c r="AM40" s="21">
        <f>SUM(AM41:AM43)</f>
        <v>22005026.46</v>
      </c>
      <c r="AN40" s="21">
        <f>SUM(AN41:AN43)</f>
        <v>58441425.230000004</v>
      </c>
      <c r="AO40" s="91"/>
      <c r="AP40" s="4"/>
      <c r="AQ40" s="72"/>
      <c r="AS40" s="73"/>
    </row>
    <row r="41" spans="1:45" ht="15">
      <c r="A41" s="8" t="s">
        <v>212</v>
      </c>
      <c r="B41" s="28">
        <f>+'[14]PGTO por contrato'!$E$99</f>
        <v>2780185.01</v>
      </c>
      <c r="C41" s="6">
        <f>+'[14]PGTO por contrato'!$E$100+'[14]PGTO por contrato'!$E$101</f>
        <v>0</v>
      </c>
      <c r="D41" s="6">
        <f>+C41+B41</f>
        <v>2780185.01</v>
      </c>
      <c r="E41" s="28">
        <f>+'[14]PGTO por contrato'!$F$99</f>
        <v>2692835.7</v>
      </c>
      <c r="F41" s="6">
        <f>+'[14]PGTO por contrato'!$F$100+'[14]PGTO por contrato'!$F$101</f>
        <v>0</v>
      </c>
      <c r="G41" s="6">
        <f>+F41+E41</f>
        <v>2692835.7</v>
      </c>
      <c r="H41" s="28">
        <f>+'[14]PGTO por contrato'!$G$99</f>
        <v>2495059.47</v>
      </c>
      <c r="I41" s="6">
        <f>+'[14]PGTO por contrato'!$G$100+'[14]PGTO por contrato'!$G$101</f>
        <v>0</v>
      </c>
      <c r="J41" s="6">
        <f>+I41+H41</f>
        <v>2495059.47</v>
      </c>
      <c r="K41" s="28"/>
      <c r="L41" s="6"/>
      <c r="M41" s="6"/>
      <c r="N41" s="28"/>
      <c r="O41" s="6"/>
      <c r="P41" s="6"/>
      <c r="Q41" s="28"/>
      <c r="R41" s="6"/>
      <c r="S41" s="6"/>
      <c r="T41" s="28"/>
      <c r="U41" s="6"/>
      <c r="V41" s="6"/>
      <c r="W41" s="28"/>
      <c r="X41" s="6"/>
      <c r="Y41" s="6"/>
      <c r="Z41" s="28"/>
      <c r="AA41" s="6"/>
      <c r="AB41" s="6"/>
      <c r="AC41" s="28"/>
      <c r="AD41" s="6"/>
      <c r="AE41" s="6"/>
      <c r="AF41" s="28"/>
      <c r="AG41" s="6"/>
      <c r="AH41" s="6"/>
      <c r="AI41" s="28"/>
      <c r="AJ41" s="6"/>
      <c r="AK41" s="6"/>
      <c r="AL41" s="28">
        <f aca="true" t="shared" si="18" ref="AL41:AM43">B41+E41+H41+K41+N41+Q41+T41+W41+Z41+AC41+AF41+AI41</f>
        <v>7968080.18</v>
      </c>
      <c r="AM41" s="28">
        <f t="shared" si="18"/>
        <v>0</v>
      </c>
      <c r="AN41" s="28">
        <f t="shared" si="11"/>
        <v>7968080.18</v>
      </c>
      <c r="AO41" s="91" t="s">
        <v>59</v>
      </c>
      <c r="AP41" s="72"/>
      <c r="AQ41" s="72"/>
      <c r="AS41" s="73"/>
    </row>
    <row r="42" spans="1:45" s="24" customFormat="1" ht="15">
      <c r="A42" s="13" t="s">
        <v>213</v>
      </c>
      <c r="B42" s="28">
        <f>+'[14]PGTO por contrato'!$E$103+'[14]PGTO por contrato'!$E$107+'[14]PGTO por contrato'!$E$111+'[14]PGTO por contrato'!$E$115+'[14]PGTO por contrato'!$E$119+'[14]PGTO por contrato'!$E$123</f>
        <v>5732565.640000001</v>
      </c>
      <c r="C42" s="28">
        <f>+'[14]PGTO por contrato'!$E$104+'[14]PGTO por contrato'!$E$105+'[14]PGTO por contrato'!$E$108+'[14]PGTO por contrato'!$E$109+'[14]PGTO por contrato'!$E$112+'[14]PGTO por contrato'!$E$113+'[14]PGTO por contrato'!$E$116+'[14]PGTO por contrato'!$E$117+'[14]PGTO por contrato'!$E$120+'[14]PGTO por contrato'!$E$121+'[14]PGTO por contrato'!$E$124+'[14]PGTO por contrato'!$E$125</f>
        <v>7282651.380000001</v>
      </c>
      <c r="D42" s="6">
        <f>+C42+B42</f>
        <v>13015217.020000001</v>
      </c>
      <c r="E42" s="28">
        <f>+'[14]PGTO por contrato'!$F$103+'[14]PGTO por contrato'!$F$107+'[14]PGTO por contrato'!$F$111+'[14]PGTO por contrato'!$F$115+'[14]PGTO por contrato'!$F$119+'[14]PGTO por contrato'!$F$123</f>
        <v>5732565.640000001</v>
      </c>
      <c r="F42" s="28">
        <f>+'[14]PGTO por contrato'!$F$104+'[14]PGTO por contrato'!$F$105+'[14]PGTO por contrato'!$F$108+'[14]PGTO por contrato'!$F$109+'[14]PGTO por contrato'!$F$112+'[14]PGTO por contrato'!$F$113+'[14]PGTO por contrato'!$F$116+'[14]PGTO por contrato'!$F$117+'[14]PGTO por contrato'!$F$120+'[14]PGTO por contrato'!$F$121+'[14]PGTO por contrato'!$F$124+'[14]PGTO por contrato'!$F$125</f>
        <v>7338257.2700000005</v>
      </c>
      <c r="G42" s="6">
        <f>+F42+E42</f>
        <v>13070822.91</v>
      </c>
      <c r="H42" s="28">
        <f>+'[14]PGTO por contrato'!$G$103+'[14]PGTO por contrato'!$G$107+'[14]PGTO por contrato'!$G$111+'[14]PGTO por contrato'!$G$115+'[14]PGTO por contrato'!$G$119+'[14]PGTO por contrato'!$G$123</f>
        <v>5732565.640000001</v>
      </c>
      <c r="I42" s="28">
        <f>+'[14]PGTO por contrato'!$G$104+'[14]PGTO por contrato'!$G$105+'[14]PGTO por contrato'!$G$108+'[14]PGTO por contrato'!$G$109+'[14]PGTO por contrato'!$G$112+'[14]PGTO por contrato'!$G$113+'[14]PGTO por contrato'!$G$116+'[14]PGTO por contrato'!$G$117+'[14]PGTO por contrato'!$G$120+'[14]PGTO por contrato'!$G$121+'[14]PGTO por contrato'!$G$124+'[14]PGTO por contrato'!$G$125</f>
        <v>7384117.81</v>
      </c>
      <c r="J42" s="6">
        <f>+I42+H42</f>
        <v>13116683.45</v>
      </c>
      <c r="K42" s="28"/>
      <c r="L42" s="28"/>
      <c r="M42" s="6"/>
      <c r="N42" s="28"/>
      <c r="O42" s="28"/>
      <c r="P42" s="6"/>
      <c r="Q42" s="28"/>
      <c r="R42" s="28"/>
      <c r="S42" s="6"/>
      <c r="T42" s="28"/>
      <c r="U42" s="28"/>
      <c r="V42" s="6"/>
      <c r="W42" s="28"/>
      <c r="X42" s="28"/>
      <c r="Y42" s="6"/>
      <c r="Z42" s="28"/>
      <c r="AA42" s="28"/>
      <c r="AB42" s="6"/>
      <c r="AC42" s="28"/>
      <c r="AD42" s="28"/>
      <c r="AE42" s="6"/>
      <c r="AF42" s="28"/>
      <c r="AG42" s="28"/>
      <c r="AH42" s="6"/>
      <c r="AI42" s="28"/>
      <c r="AJ42" s="28"/>
      <c r="AK42" s="6"/>
      <c r="AL42" s="28">
        <f t="shared" si="18"/>
        <v>17197696.92</v>
      </c>
      <c r="AM42" s="28">
        <f t="shared" si="18"/>
        <v>22005026.46</v>
      </c>
      <c r="AN42" s="28">
        <f t="shared" si="11"/>
        <v>39202723.38</v>
      </c>
      <c r="AO42" s="91" t="s">
        <v>60</v>
      </c>
      <c r="AP42" s="72"/>
      <c r="AQ42" s="72"/>
      <c r="AS42" s="73"/>
    </row>
    <row r="43" spans="1:45" s="24" customFormat="1" ht="15">
      <c r="A43" s="13" t="s">
        <v>252</v>
      </c>
      <c r="B43" s="28">
        <f>+'[14]PGTO por contrato'!$E$135+'[14]PGTO por contrato'!$E$139+'[14]PGTO por contrato'!$E$143</f>
        <v>3733602.05</v>
      </c>
      <c r="C43" s="28">
        <f>+'[14]PGTO por contrato'!$E$136+'[14]PGTO por contrato'!$E$137+'[14]PGTO por contrato'!$E$140+'[14]PGTO por contrato'!$E$141+'[14]PGTO por contrato'!$E$144+'[14]PGTO por contrato'!$E$145</f>
        <v>0</v>
      </c>
      <c r="D43" s="6">
        <f>+C43+B43</f>
        <v>3733602.05</v>
      </c>
      <c r="E43" s="28">
        <f>+'[14]PGTO por contrato'!$F$135+'[14]PGTO por contrato'!$F$139+'[14]PGTO por contrato'!$F$143</f>
        <v>3758317.7600000002</v>
      </c>
      <c r="F43" s="28">
        <f>+'[14]PGTO por contrato'!$F$136+'[14]PGTO por contrato'!$F$137+'[14]PGTO por contrato'!$F$140+'[14]PGTO por contrato'!$F$141+'[14]PGTO por contrato'!$F$144+'[14]PGTO por contrato'!$F$145</f>
        <v>0</v>
      </c>
      <c r="G43" s="6">
        <f>+F43+E43</f>
        <v>3758317.7600000002</v>
      </c>
      <c r="H43" s="28">
        <f>+'[14]PGTO por contrato'!$G$135+'[14]PGTO por contrato'!$G$139+'[14]PGTO por contrato'!$G$143</f>
        <v>3778701.8600000003</v>
      </c>
      <c r="I43" s="28">
        <f>+'[14]PGTO por contrato'!$G$136+'[14]PGTO por contrato'!$G$137+'[14]PGTO por contrato'!$G$140+'[14]PGTO por contrato'!$G$141+'[14]PGTO por contrato'!$G$144+'[14]PGTO por contrato'!$G$145</f>
        <v>0</v>
      </c>
      <c r="J43" s="6">
        <f>+I43+H43</f>
        <v>3778701.8600000003</v>
      </c>
      <c r="K43" s="28"/>
      <c r="L43" s="28"/>
      <c r="M43" s="6"/>
      <c r="N43" s="28"/>
      <c r="O43" s="28"/>
      <c r="P43" s="6"/>
      <c r="Q43" s="28"/>
      <c r="R43" s="28"/>
      <c r="S43" s="6"/>
      <c r="T43" s="28"/>
      <c r="U43" s="28"/>
      <c r="V43" s="6"/>
      <c r="W43" s="28"/>
      <c r="X43" s="28"/>
      <c r="Y43" s="6"/>
      <c r="Z43" s="28"/>
      <c r="AA43" s="28"/>
      <c r="AB43" s="6"/>
      <c r="AC43" s="28"/>
      <c r="AD43" s="28"/>
      <c r="AE43" s="6"/>
      <c r="AF43" s="28"/>
      <c r="AG43" s="28"/>
      <c r="AH43" s="6"/>
      <c r="AI43" s="28"/>
      <c r="AJ43" s="28"/>
      <c r="AK43" s="6"/>
      <c r="AL43" s="28">
        <f t="shared" si="18"/>
        <v>11270621.670000002</v>
      </c>
      <c r="AM43" s="28">
        <f t="shared" si="18"/>
        <v>0</v>
      </c>
      <c r="AN43" s="28">
        <f t="shared" si="11"/>
        <v>11270621.670000002</v>
      </c>
      <c r="AO43" s="91" t="s">
        <v>255</v>
      </c>
      <c r="AP43" s="72"/>
      <c r="AQ43" s="72"/>
      <c r="AS43" s="73"/>
    </row>
    <row r="44" spans="1:45" s="24" customFormat="1" ht="15">
      <c r="A44" s="20" t="s">
        <v>295</v>
      </c>
      <c r="B44" s="21">
        <f aca="true" t="shared" si="19" ref="B44:G44">+B45+B46</f>
        <v>10556922.3</v>
      </c>
      <c r="C44" s="21">
        <f t="shared" si="19"/>
        <v>63638.67</v>
      </c>
      <c r="D44" s="21">
        <f t="shared" si="19"/>
        <v>10620560.969999999</v>
      </c>
      <c r="E44" s="21">
        <f t="shared" si="19"/>
        <v>10556922.3</v>
      </c>
      <c r="F44" s="21">
        <f t="shared" si="19"/>
        <v>0</v>
      </c>
      <c r="G44" s="21">
        <f t="shared" si="19"/>
        <v>10556922.3</v>
      </c>
      <c r="H44" s="21">
        <f>+H45+H46</f>
        <v>10556922.3</v>
      </c>
      <c r="I44" s="21">
        <f>+I45+I46</f>
        <v>0</v>
      </c>
      <c r="J44" s="21">
        <f>+J45+J46</f>
        <v>10556922.3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>
        <f>+AL45+AL46</f>
        <v>31670766.9</v>
      </c>
      <c r="AM44" s="21">
        <f>+AM45+AM46</f>
        <v>63638.67</v>
      </c>
      <c r="AN44" s="21">
        <f>+AN45+AN46</f>
        <v>31734405.57</v>
      </c>
      <c r="AO44" s="91"/>
      <c r="AP44" s="72"/>
      <c r="AQ44" s="72"/>
      <c r="AS44" s="73"/>
    </row>
    <row r="45" spans="1:45" s="24" customFormat="1" ht="15">
      <c r="A45" s="13" t="s">
        <v>298</v>
      </c>
      <c r="B45" s="28">
        <f>+'[14]PGTO por contrato'!$E$127</f>
        <v>6363867.25</v>
      </c>
      <c r="C45" s="28">
        <f>+'[14]PGTO por contrato'!$E$128+'[14]PGTO por contrato'!$E$129</f>
        <v>63638.67</v>
      </c>
      <c r="D45" s="6">
        <f>+C45+B45</f>
        <v>6427505.92</v>
      </c>
      <c r="E45" s="28">
        <f>+'[14]PGTO por contrato'!$F$127</f>
        <v>6363867.25</v>
      </c>
      <c r="F45" s="28">
        <f>+'[14]PGTO por contrato'!$F$128+'[14]PGTO por contrato'!$F$129</f>
        <v>0</v>
      </c>
      <c r="G45" s="6">
        <f>+F45+E45</f>
        <v>6363867.25</v>
      </c>
      <c r="H45" s="28">
        <f>+'[14]PGTO por contrato'!$G$127</f>
        <v>6363867.25</v>
      </c>
      <c r="I45" s="28">
        <f>+'[14]PGTO por contrato'!$G$128+'[14]PGTO por contrato'!$G$129</f>
        <v>0</v>
      </c>
      <c r="J45" s="6">
        <f>+I45+H45</f>
        <v>6363867.25</v>
      </c>
      <c r="K45" s="28"/>
      <c r="L45" s="28"/>
      <c r="M45" s="6"/>
      <c r="N45" s="28"/>
      <c r="O45" s="28"/>
      <c r="P45" s="6"/>
      <c r="Q45" s="28"/>
      <c r="R45" s="28"/>
      <c r="S45" s="6"/>
      <c r="T45" s="28"/>
      <c r="U45" s="28"/>
      <c r="V45" s="6"/>
      <c r="W45" s="28"/>
      <c r="X45" s="28"/>
      <c r="Y45" s="6"/>
      <c r="Z45" s="28"/>
      <c r="AA45" s="28"/>
      <c r="AB45" s="6"/>
      <c r="AC45" s="28"/>
      <c r="AD45" s="28"/>
      <c r="AE45" s="6"/>
      <c r="AF45" s="28"/>
      <c r="AG45" s="28"/>
      <c r="AH45" s="6"/>
      <c r="AI45" s="28"/>
      <c r="AJ45" s="28"/>
      <c r="AK45" s="6"/>
      <c r="AL45" s="28">
        <f aca="true" t="shared" si="20" ref="AL45:AM47">B45+E45+H45+K45+N45+Q45+T45+W45+Z45+AC45+AF45+AI45</f>
        <v>19091601.75</v>
      </c>
      <c r="AM45" s="28">
        <f t="shared" si="20"/>
        <v>63638.67</v>
      </c>
      <c r="AN45" s="28">
        <f t="shared" si="11"/>
        <v>19155240.42</v>
      </c>
      <c r="AO45" s="91" t="s">
        <v>256</v>
      </c>
      <c r="AP45" s="72"/>
      <c r="AQ45" s="72"/>
      <c r="AS45" s="73"/>
    </row>
    <row r="46" spans="1:45" s="24" customFormat="1" ht="15">
      <c r="A46" s="13" t="s">
        <v>299</v>
      </c>
      <c r="B46" s="28">
        <f>+'[14]PGTO por contrato'!$E$131</f>
        <v>4193055.05</v>
      </c>
      <c r="C46" s="28">
        <f>+'[14]PGTO por contrato'!$E$132+'[14]PGTO por contrato'!$E$133</f>
        <v>0</v>
      </c>
      <c r="D46" s="6">
        <f>+B46+C46</f>
        <v>4193055.05</v>
      </c>
      <c r="E46" s="28">
        <f>+'[14]PGTO por contrato'!$F$131</f>
        <v>4193055.05</v>
      </c>
      <c r="F46" s="28">
        <f>+'[14]PGTO por contrato'!$F$132+'[14]PGTO por contrato'!$F$133</f>
        <v>0</v>
      </c>
      <c r="G46" s="6">
        <f>+E46+F46</f>
        <v>4193055.05</v>
      </c>
      <c r="H46" s="28">
        <f>+'[14]PGTO por contrato'!$G$131</f>
        <v>4193055.05</v>
      </c>
      <c r="I46" s="28">
        <f>+'[14]PGTO por contrato'!$G$132+'[14]PGTO por contrato'!$G$133</f>
        <v>0</v>
      </c>
      <c r="J46" s="6">
        <f>+H46+I46</f>
        <v>4193055.05</v>
      </c>
      <c r="K46" s="28"/>
      <c r="L46" s="28"/>
      <c r="M46" s="6"/>
      <c r="N46" s="28"/>
      <c r="O46" s="28"/>
      <c r="P46" s="6"/>
      <c r="Q46" s="28"/>
      <c r="R46" s="28"/>
      <c r="S46" s="6"/>
      <c r="T46" s="28"/>
      <c r="U46" s="28"/>
      <c r="V46" s="6"/>
      <c r="W46" s="28"/>
      <c r="X46" s="28"/>
      <c r="Y46" s="6"/>
      <c r="Z46" s="28"/>
      <c r="AA46" s="28"/>
      <c r="AB46" s="6"/>
      <c r="AC46" s="28"/>
      <c r="AD46" s="28"/>
      <c r="AE46" s="6"/>
      <c r="AF46" s="28"/>
      <c r="AG46" s="28"/>
      <c r="AH46" s="6"/>
      <c r="AI46" s="28"/>
      <c r="AJ46" s="28"/>
      <c r="AK46" s="6"/>
      <c r="AL46" s="28">
        <f t="shared" si="20"/>
        <v>12579165.149999999</v>
      </c>
      <c r="AM46" s="28">
        <f t="shared" si="20"/>
        <v>0</v>
      </c>
      <c r="AN46" s="28">
        <f>+AL46+AM46</f>
        <v>12579165.149999999</v>
      </c>
      <c r="AO46" s="91"/>
      <c r="AP46" s="72"/>
      <c r="AQ46" s="72"/>
      <c r="AS46" s="73"/>
    </row>
    <row r="47" spans="1:45" s="24" customFormat="1" ht="15" hidden="1">
      <c r="A47" s="13"/>
      <c r="B47" s="28">
        <f>+'[14]PGTO por contrato'!$E$147</f>
        <v>0</v>
      </c>
      <c r="C47" s="6">
        <f>+'[14]PGTO por contrato'!$E$148+'[14]PGTO por contrato'!$E$149</f>
        <v>0</v>
      </c>
      <c r="D47" s="6">
        <f>+C47+B47</f>
        <v>0</v>
      </c>
      <c r="E47" s="28">
        <f>+'[14]PGTO por contrato'!$F$147</f>
        <v>0</v>
      </c>
      <c r="F47" s="6">
        <f>+'[14]PGTO por contrato'!$F$148+'[14]PGTO por contrato'!$F$149</f>
        <v>0</v>
      </c>
      <c r="G47" s="6">
        <f>+F47+E47</f>
        <v>0</v>
      </c>
      <c r="H47" s="28">
        <f>+'[14]PGTO por contrato'!$G$147</f>
        <v>0</v>
      </c>
      <c r="I47" s="6">
        <f>+'[14]PGTO por contrato'!$G$148+'[14]PGTO por contrato'!$G$149</f>
        <v>0</v>
      </c>
      <c r="J47" s="6">
        <f>+I47+H47</f>
        <v>0</v>
      </c>
      <c r="K47" s="28"/>
      <c r="L47" s="6"/>
      <c r="M47" s="6"/>
      <c r="N47" s="28"/>
      <c r="O47" s="6"/>
      <c r="P47" s="6"/>
      <c r="Q47" s="28"/>
      <c r="R47" s="6"/>
      <c r="S47" s="6"/>
      <c r="T47" s="28"/>
      <c r="U47" s="6"/>
      <c r="V47" s="6"/>
      <c r="W47" s="28"/>
      <c r="X47" s="6"/>
      <c r="Y47" s="6"/>
      <c r="Z47" s="28"/>
      <c r="AA47" s="6"/>
      <c r="AB47" s="6"/>
      <c r="AC47" s="28"/>
      <c r="AD47" s="6"/>
      <c r="AE47" s="6"/>
      <c r="AF47" s="28"/>
      <c r="AG47" s="6"/>
      <c r="AH47" s="6"/>
      <c r="AI47" s="28"/>
      <c r="AJ47" s="6"/>
      <c r="AK47" s="6"/>
      <c r="AL47" s="28">
        <f t="shared" si="20"/>
        <v>0</v>
      </c>
      <c r="AM47" s="28">
        <f t="shared" si="20"/>
        <v>0</v>
      </c>
      <c r="AN47" s="28">
        <f>+AL47+AM47</f>
        <v>0</v>
      </c>
      <c r="AO47" s="91"/>
      <c r="AP47" s="72"/>
      <c r="AQ47" s="72"/>
      <c r="AS47" s="73"/>
    </row>
    <row r="48" spans="1:43" s="24" customFormat="1" ht="15">
      <c r="A48" s="104" t="s">
        <v>6</v>
      </c>
      <c r="B48" s="105">
        <f aca="true" t="shared" si="21" ref="B48:G48">+B49+B55+B65+B70</f>
        <v>0</v>
      </c>
      <c r="C48" s="105">
        <f t="shared" si="21"/>
        <v>0</v>
      </c>
      <c r="D48" s="105">
        <f t="shared" si="21"/>
        <v>0</v>
      </c>
      <c r="E48" s="105">
        <f t="shared" si="21"/>
        <v>0</v>
      </c>
      <c r="F48" s="105">
        <f t="shared" si="21"/>
        <v>0</v>
      </c>
      <c r="G48" s="105">
        <f t="shared" si="21"/>
        <v>0</v>
      </c>
      <c r="H48" s="105">
        <f>+H49+H55+H65+H70</f>
        <v>0</v>
      </c>
      <c r="I48" s="105">
        <f>+I49+I55+I65+I70</f>
        <v>0</v>
      </c>
      <c r="J48" s="105">
        <f>+J49+J55+J65+J70</f>
        <v>0</v>
      </c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>
        <f>+AL49+AL55+AL65+AL70</f>
        <v>0</v>
      </c>
      <c r="AM48" s="105">
        <f>+AM49+AM55+AM65+AM70</f>
        <v>0</v>
      </c>
      <c r="AN48" s="105">
        <f>+AN49+AN55+AN65+AN70</f>
        <v>0</v>
      </c>
      <c r="AO48" s="120"/>
      <c r="AP48" s="72"/>
      <c r="AQ48" s="72"/>
    </row>
    <row r="49" spans="1:40" ht="15">
      <c r="A49" s="20" t="s">
        <v>141</v>
      </c>
      <c r="B49" s="21">
        <f aca="true" t="shared" si="22" ref="B49:G49">+SUM(B50:B54)</f>
        <v>0</v>
      </c>
      <c r="C49" s="21">
        <f t="shared" si="22"/>
        <v>0</v>
      </c>
      <c r="D49" s="21">
        <f t="shared" si="22"/>
        <v>0</v>
      </c>
      <c r="E49" s="21">
        <f t="shared" si="22"/>
        <v>0</v>
      </c>
      <c r="F49" s="21">
        <f t="shared" si="22"/>
        <v>0</v>
      </c>
      <c r="G49" s="21">
        <f t="shared" si="22"/>
        <v>0</v>
      </c>
      <c r="H49" s="21">
        <f>+SUM(H50:H54)</f>
        <v>0</v>
      </c>
      <c r="I49" s="21">
        <f>+SUM(I50:I54)</f>
        <v>0</v>
      </c>
      <c r="J49" s="21">
        <f>+SUM(J50:J54)</f>
        <v>0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>
        <f>+SUM(AL50:AL54)</f>
        <v>0</v>
      </c>
      <c r="AM49" s="21">
        <f>+SUM(AM50:AM54)</f>
        <v>0</v>
      </c>
      <c r="AN49" s="21">
        <f>+SUM(AN50:AN54)</f>
        <v>0</v>
      </c>
    </row>
    <row r="50" spans="1:43" ht="15">
      <c r="A50" s="8" t="s">
        <v>214</v>
      </c>
      <c r="B50" s="6">
        <f>+'[14]PGTO por contrato'!$E$171</f>
        <v>0</v>
      </c>
      <c r="C50" s="6">
        <f>+'[14]PGTO por contrato'!$E$172+'[14]PGTO por contrato'!$E$173</f>
        <v>0</v>
      </c>
      <c r="D50" s="6">
        <f>+C50+B50</f>
        <v>0</v>
      </c>
      <c r="E50" s="6">
        <f>+'[14]PGTO por contrato'!$F$171</f>
        <v>0</v>
      </c>
      <c r="F50" s="6">
        <f>+'[14]PGTO por contrato'!$F$172+'[14]PGTO por contrato'!$F$173</f>
        <v>0</v>
      </c>
      <c r="G50" s="6">
        <f>+F50+E50</f>
        <v>0</v>
      </c>
      <c r="H50" s="6">
        <f>+'[14]PGTO por contrato'!$G$171</f>
        <v>0</v>
      </c>
      <c r="I50" s="6">
        <f>+'[14]PGTO por contrato'!$G$172+'[14]PGTO por contrato'!$G$173</f>
        <v>0</v>
      </c>
      <c r="J50" s="6">
        <f>+I50+H50</f>
        <v>0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28">
        <f aca="true" t="shared" si="23" ref="AL50:AM54">B50+E50+H50+K50+N50+Q50+T50+W50+Z50+AC50+AF50+AI50</f>
        <v>0</v>
      </c>
      <c r="AM50" s="28">
        <f t="shared" si="23"/>
        <v>0</v>
      </c>
      <c r="AN50" s="28">
        <f>+AL50+AM50</f>
        <v>0</v>
      </c>
      <c r="AO50" s="120" t="s">
        <v>67</v>
      </c>
      <c r="AP50" s="72"/>
      <c r="AQ50" s="72"/>
    </row>
    <row r="51" spans="1:43" ht="15">
      <c r="A51" s="7" t="s">
        <v>215</v>
      </c>
      <c r="B51" s="6">
        <f>+'[14]PGTO por contrato'!$E$159</f>
        <v>0</v>
      </c>
      <c r="C51" s="6">
        <f>+'[14]PGTO por contrato'!$E$160+'[14]PGTO por contrato'!$E$161</f>
        <v>0</v>
      </c>
      <c r="D51" s="6">
        <f>+C51+B51</f>
        <v>0</v>
      </c>
      <c r="E51" s="6">
        <f>+'[14]PGTO por contrato'!$F$159</f>
        <v>0</v>
      </c>
      <c r="F51" s="6">
        <f>+'[14]PGTO por contrato'!$F$160+'[14]PGTO por contrato'!$F$161</f>
        <v>0</v>
      </c>
      <c r="G51" s="6">
        <f>+F51+E51</f>
        <v>0</v>
      </c>
      <c r="H51" s="6">
        <f>+'[14]PGTO por contrato'!$G$159</f>
        <v>0</v>
      </c>
      <c r="I51" s="6">
        <f>+'[14]PGTO por contrato'!$G$160+'[14]PGTO por contrato'!$G$161</f>
        <v>0</v>
      </c>
      <c r="J51" s="6">
        <f>+I51+H51</f>
        <v>0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28">
        <f t="shared" si="23"/>
        <v>0</v>
      </c>
      <c r="AM51" s="28">
        <f t="shared" si="23"/>
        <v>0</v>
      </c>
      <c r="AN51" s="28">
        <f>+AL51+AM51</f>
        <v>0</v>
      </c>
      <c r="AO51" s="120" t="s">
        <v>63</v>
      </c>
      <c r="AP51" s="72"/>
      <c r="AQ51" s="72"/>
    </row>
    <row r="52" spans="1:43" ht="15">
      <c r="A52" s="7" t="s">
        <v>216</v>
      </c>
      <c r="B52" s="6">
        <f>+'[14]PGTO por contrato'!$E$163</f>
        <v>0</v>
      </c>
      <c r="C52" s="6">
        <f>+'[14]PGTO por contrato'!$E$164+'[14]PGTO por contrato'!$E$165</f>
        <v>0</v>
      </c>
      <c r="D52" s="6">
        <f>+C52+B52</f>
        <v>0</v>
      </c>
      <c r="E52" s="6">
        <f>+'[14]PGTO por contrato'!$F$163</f>
        <v>0</v>
      </c>
      <c r="F52" s="6">
        <f>+'[14]PGTO por contrato'!$F$164+'[14]PGTO por contrato'!$F$165</f>
        <v>0</v>
      </c>
      <c r="G52" s="6">
        <f>+F52+E52</f>
        <v>0</v>
      </c>
      <c r="H52" s="6">
        <f>+'[14]PGTO por contrato'!$G$163</f>
        <v>0</v>
      </c>
      <c r="I52" s="6">
        <f>+'[14]PGTO por contrato'!$G$164+'[14]PGTO por contrato'!$G$165</f>
        <v>0</v>
      </c>
      <c r="J52" s="6">
        <f>+I52+H52</f>
        <v>0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28">
        <f t="shared" si="23"/>
        <v>0</v>
      </c>
      <c r="AM52" s="28">
        <f t="shared" si="23"/>
        <v>0</v>
      </c>
      <c r="AN52" s="28">
        <f>+AL52+AM52</f>
        <v>0</v>
      </c>
      <c r="AO52" s="120" t="s">
        <v>61</v>
      </c>
      <c r="AP52" s="4"/>
      <c r="AQ52" s="72"/>
    </row>
    <row r="53" spans="1:43" ht="15">
      <c r="A53" s="7" t="s">
        <v>217</v>
      </c>
      <c r="B53" s="6">
        <f>+'[14]PGTO por contrato'!$E$167</f>
        <v>0</v>
      </c>
      <c r="C53" s="6">
        <f>+'[14]PGTO por contrato'!$E$168+'[14]PGTO por contrato'!$E$169</f>
        <v>0</v>
      </c>
      <c r="D53" s="6">
        <f>+C53+B53</f>
        <v>0</v>
      </c>
      <c r="E53" s="6">
        <f>+'[14]PGTO por contrato'!$F$167</f>
        <v>0</v>
      </c>
      <c r="F53" s="6">
        <f>+'[14]PGTO por contrato'!$F$168+'[14]PGTO por contrato'!$F$169</f>
        <v>0</v>
      </c>
      <c r="G53" s="6">
        <f>+F53+E53</f>
        <v>0</v>
      </c>
      <c r="H53" s="6">
        <f>+'[14]PGTO por contrato'!$G$167</f>
        <v>0</v>
      </c>
      <c r="I53" s="6">
        <f>+'[14]PGTO por contrato'!$G$168+'[14]PGTO por contrato'!$G$169</f>
        <v>0</v>
      </c>
      <c r="J53" s="6">
        <f>+I53+H53</f>
        <v>0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28">
        <f t="shared" si="23"/>
        <v>0</v>
      </c>
      <c r="AM53" s="28">
        <f t="shared" si="23"/>
        <v>0</v>
      </c>
      <c r="AN53" s="28">
        <f>+AL53+AM53</f>
        <v>0</v>
      </c>
      <c r="AO53" s="120" t="s">
        <v>66</v>
      </c>
      <c r="AP53" s="4"/>
      <c r="AQ53" s="72"/>
    </row>
    <row r="54" spans="1:43" ht="15">
      <c r="A54" s="7" t="s">
        <v>218</v>
      </c>
      <c r="B54" s="6">
        <f>+'[14]PGTO por contrato'!$E$175</f>
        <v>0</v>
      </c>
      <c r="C54" s="6">
        <f>+'[14]PGTO por contrato'!$E$176+'[14]PGTO por contrato'!$E$177</f>
        <v>0</v>
      </c>
      <c r="D54" s="6">
        <f>+C54+B54</f>
        <v>0</v>
      </c>
      <c r="E54" s="6">
        <f>+'[14]PGTO por contrato'!$F$175</f>
        <v>0</v>
      </c>
      <c r="F54" s="6">
        <f>+'[14]PGTO por contrato'!$F$176+'[14]PGTO por contrato'!$F$177</f>
        <v>0</v>
      </c>
      <c r="G54" s="6">
        <f>+F54+E54</f>
        <v>0</v>
      </c>
      <c r="H54" s="6">
        <f>+'[14]PGTO por contrato'!$G$175</f>
        <v>0</v>
      </c>
      <c r="I54" s="6">
        <f>+'[14]PGTO por contrato'!$G$176+'[14]PGTO por contrato'!$G$177</f>
        <v>0</v>
      </c>
      <c r="J54" s="6">
        <f>+I54+H54</f>
        <v>0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28">
        <f t="shared" si="23"/>
        <v>0</v>
      </c>
      <c r="AM54" s="28">
        <f t="shared" si="23"/>
        <v>0</v>
      </c>
      <c r="AN54" s="28">
        <f>+AL54+AM54</f>
        <v>0</v>
      </c>
      <c r="AO54" s="120" t="s">
        <v>81</v>
      </c>
      <c r="AP54" s="4"/>
      <c r="AQ54" s="72"/>
    </row>
    <row r="55" spans="1:43" ht="15">
      <c r="A55" s="20" t="s">
        <v>143</v>
      </c>
      <c r="B55" s="21">
        <f aca="true" t="shared" si="24" ref="B55:G55">SUM(B56:B64)</f>
        <v>0</v>
      </c>
      <c r="C55" s="21">
        <f t="shared" si="24"/>
        <v>0</v>
      </c>
      <c r="D55" s="21">
        <f t="shared" si="24"/>
        <v>0</v>
      </c>
      <c r="E55" s="21">
        <f t="shared" si="24"/>
        <v>0</v>
      </c>
      <c r="F55" s="21">
        <f t="shared" si="24"/>
        <v>0</v>
      </c>
      <c r="G55" s="21">
        <f t="shared" si="24"/>
        <v>0</v>
      </c>
      <c r="H55" s="21">
        <f>SUM(H56:H64)</f>
        <v>0</v>
      </c>
      <c r="I55" s="21">
        <f>SUM(I56:I64)</f>
        <v>0</v>
      </c>
      <c r="J55" s="21">
        <f>SUM(J56:J64)</f>
        <v>0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>
        <f>SUM(AL56:AL64)</f>
        <v>0</v>
      </c>
      <c r="AM55" s="21">
        <f>SUM(AM56:AM64)</f>
        <v>0</v>
      </c>
      <c r="AN55" s="21">
        <f>SUM(AN56:AN64)</f>
        <v>0</v>
      </c>
      <c r="AO55" s="120"/>
      <c r="AP55" s="72"/>
      <c r="AQ55" s="72"/>
    </row>
    <row r="56" spans="1:43" ht="15">
      <c r="A56" s="8" t="s">
        <v>219</v>
      </c>
      <c r="B56" s="6">
        <f>+'[14]PGTO por contrato'!$E$179+'[14]PGTO por contrato'!$E$183+'[14]PGTO por contrato'!$E$203</f>
        <v>0</v>
      </c>
      <c r="C56" s="6">
        <f>+'[14]PGTO por contrato'!$E$180+'[14]PGTO por contrato'!$E$181+'[14]PGTO por contrato'!$E$184+'[14]PGTO por contrato'!$E$185+'[14]PGTO por contrato'!$E$204+'[14]PGTO por contrato'!$E$205</f>
        <v>0</v>
      </c>
      <c r="D56" s="6">
        <f aca="true" t="shared" si="25" ref="D56:D64">+C56+B56</f>
        <v>0</v>
      </c>
      <c r="E56" s="6">
        <f>+'[14]PGTO por contrato'!$F$179+'[14]PGTO por contrato'!$F$183+'[14]PGTO por contrato'!$F$203</f>
        <v>0</v>
      </c>
      <c r="F56" s="6">
        <f>+'[14]PGTO por contrato'!$F$180+'[14]PGTO por contrato'!$F$181+'[14]PGTO por contrato'!$F$184+'[14]PGTO por contrato'!$F$185+'[14]PGTO por contrato'!$F$204+'[14]PGTO por contrato'!$F$205</f>
        <v>0</v>
      </c>
      <c r="G56" s="6">
        <f aca="true" t="shared" si="26" ref="G56:G64">+F56+E56</f>
        <v>0</v>
      </c>
      <c r="H56" s="6">
        <f>+'[14]PGTO por contrato'!$G$179+'[14]PGTO por contrato'!$G$183+'[14]PGTO por contrato'!$G$203</f>
        <v>0</v>
      </c>
      <c r="I56" s="6">
        <f>+'[14]PGTO por contrato'!$G$180+'[14]PGTO por contrato'!$G$181+'[14]PGTO por contrato'!$G$184+'[14]PGTO por contrato'!$G$185+'[14]PGTO por contrato'!$G$204+'[14]PGTO por contrato'!$G$205</f>
        <v>0</v>
      </c>
      <c r="J56" s="6">
        <f aca="true" t="shared" si="27" ref="J56:J64">+I56+H56</f>
        <v>0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28">
        <f aca="true" t="shared" si="28" ref="AL56:AL64">B56+E56+H56+K56+N56+Q56+T56+W56+Z56+AC56+AF56+AI56</f>
        <v>0</v>
      </c>
      <c r="AM56" s="28">
        <f aca="true" t="shared" si="29" ref="AM56:AM64">C56+F56+I56+L56+O56+R56+U56+X56+AA56+AD56+AG56+AJ56</f>
        <v>0</v>
      </c>
      <c r="AN56" s="28">
        <f aca="true" t="shared" si="30" ref="AN56:AN64">+AL56+AM56</f>
        <v>0</v>
      </c>
      <c r="AO56" s="120" t="s">
        <v>86</v>
      </c>
      <c r="AP56" s="72"/>
      <c r="AQ56" s="72"/>
    </row>
    <row r="57" spans="1:43" ht="15">
      <c r="A57" s="7" t="s">
        <v>220</v>
      </c>
      <c r="B57" s="6">
        <f>+'[14]PGTO por contrato'!$E$187</f>
        <v>0</v>
      </c>
      <c r="C57" s="6">
        <f>+'[14]PGTO por contrato'!$E$188+'[14]PGTO por contrato'!$E$189</f>
        <v>0</v>
      </c>
      <c r="D57" s="6">
        <f t="shared" si="25"/>
        <v>0</v>
      </c>
      <c r="E57" s="6">
        <f>+'[14]PGTO por contrato'!$F$187</f>
        <v>0</v>
      </c>
      <c r="F57" s="6">
        <f>+'[14]PGTO por contrato'!$F$188+'[14]PGTO por contrato'!$F$189</f>
        <v>0</v>
      </c>
      <c r="G57" s="6">
        <f t="shared" si="26"/>
        <v>0</v>
      </c>
      <c r="H57" s="6">
        <f>+'[14]PGTO por contrato'!$G$187</f>
        <v>0</v>
      </c>
      <c r="I57" s="6">
        <f>+'[14]PGTO por contrato'!$G$188+'[14]PGTO por contrato'!$G$189</f>
        <v>0</v>
      </c>
      <c r="J57" s="6">
        <f t="shared" si="27"/>
        <v>0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28">
        <f t="shared" si="28"/>
        <v>0</v>
      </c>
      <c r="AM57" s="28">
        <f t="shared" si="29"/>
        <v>0</v>
      </c>
      <c r="AN57" s="28">
        <f t="shared" si="30"/>
        <v>0</v>
      </c>
      <c r="AO57" s="120" t="s">
        <v>97</v>
      </c>
      <c r="AP57" s="72"/>
      <c r="AQ57" s="72"/>
    </row>
    <row r="58" spans="1:43" ht="15">
      <c r="A58" s="7" t="s">
        <v>221</v>
      </c>
      <c r="B58" s="6">
        <f>+'[14]PGTO por contrato'!$E$191</f>
        <v>0</v>
      </c>
      <c r="C58" s="6">
        <f>+'[14]PGTO por contrato'!$E$192+'[14]PGTO por contrato'!$E$193</f>
        <v>0</v>
      </c>
      <c r="D58" s="6">
        <f t="shared" si="25"/>
        <v>0</v>
      </c>
      <c r="E58" s="6">
        <f>+'[14]PGTO por contrato'!$F$191</f>
        <v>0</v>
      </c>
      <c r="F58" s="6">
        <f>+'[14]PGTO por contrato'!$F$192+'[14]PGTO por contrato'!$F$193</f>
        <v>0</v>
      </c>
      <c r="G58" s="6">
        <f t="shared" si="26"/>
        <v>0</v>
      </c>
      <c r="H58" s="6">
        <f>+'[14]PGTO por contrato'!$G$191</f>
        <v>0</v>
      </c>
      <c r="I58" s="6">
        <f>+'[14]PGTO por contrato'!$G$192+'[14]PGTO por contrato'!$G$193</f>
        <v>0</v>
      </c>
      <c r="J58" s="6">
        <f t="shared" si="27"/>
        <v>0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28">
        <f t="shared" si="28"/>
        <v>0</v>
      </c>
      <c r="AM58" s="28">
        <f t="shared" si="29"/>
        <v>0</v>
      </c>
      <c r="AN58" s="28">
        <f t="shared" si="30"/>
        <v>0</v>
      </c>
      <c r="AO58" s="120" t="s">
        <v>62</v>
      </c>
      <c r="AP58" s="4"/>
      <c r="AQ58" s="72"/>
    </row>
    <row r="59" spans="1:43" ht="15">
      <c r="A59" s="7" t="s">
        <v>222</v>
      </c>
      <c r="B59" s="6">
        <f>+'[14]PGTO por contrato'!$E$195</f>
        <v>0</v>
      </c>
      <c r="C59" s="6">
        <f>+'[14]PGTO por contrato'!$E$196+'[14]PGTO por contrato'!$E$197</f>
        <v>0</v>
      </c>
      <c r="D59" s="6">
        <f t="shared" si="25"/>
        <v>0</v>
      </c>
      <c r="E59" s="6">
        <f>+'[14]PGTO por contrato'!$F$195</f>
        <v>0</v>
      </c>
      <c r="F59" s="6">
        <f>+'[14]PGTO por contrato'!$F$196+'[14]PGTO por contrato'!$F$197</f>
        <v>0</v>
      </c>
      <c r="G59" s="6">
        <f t="shared" si="26"/>
        <v>0</v>
      </c>
      <c r="H59" s="6">
        <f>+'[14]PGTO por contrato'!$G$195</f>
        <v>0</v>
      </c>
      <c r="I59" s="6">
        <f>+'[14]PGTO por contrato'!$G$196+'[14]PGTO por contrato'!$G$197</f>
        <v>0</v>
      </c>
      <c r="J59" s="6">
        <f t="shared" si="27"/>
        <v>0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28">
        <f t="shared" si="28"/>
        <v>0</v>
      </c>
      <c r="AM59" s="28">
        <f t="shared" si="29"/>
        <v>0</v>
      </c>
      <c r="AN59" s="28">
        <f t="shared" si="30"/>
        <v>0</v>
      </c>
      <c r="AO59" s="120" t="s">
        <v>64</v>
      </c>
      <c r="AP59" s="4"/>
      <c r="AQ59" s="72"/>
    </row>
    <row r="60" spans="1:43" ht="15">
      <c r="A60" s="7" t="s">
        <v>223</v>
      </c>
      <c r="B60" s="6">
        <f>+'[14]PGTO por contrato'!$E$199</f>
        <v>0</v>
      </c>
      <c r="C60" s="6">
        <f>+'[14]PGTO por contrato'!$E$200+'[14]PGTO por contrato'!$E$201</f>
        <v>0</v>
      </c>
      <c r="D60" s="6">
        <f t="shared" si="25"/>
        <v>0</v>
      </c>
      <c r="E60" s="6">
        <f>+'[14]PGTO por contrato'!$F$199</f>
        <v>0</v>
      </c>
      <c r="F60" s="6">
        <f>+'[14]PGTO por contrato'!$F$200+'[14]PGTO por contrato'!$F$201</f>
        <v>0</v>
      </c>
      <c r="G60" s="6">
        <f t="shared" si="26"/>
        <v>0</v>
      </c>
      <c r="H60" s="6">
        <f>+'[14]PGTO por contrato'!$G$199</f>
        <v>0</v>
      </c>
      <c r="I60" s="6">
        <f>+'[14]PGTO por contrato'!$G$200+'[14]PGTO por contrato'!$G$201</f>
        <v>0</v>
      </c>
      <c r="J60" s="6">
        <f t="shared" si="27"/>
        <v>0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28">
        <f t="shared" si="28"/>
        <v>0</v>
      </c>
      <c r="AM60" s="28">
        <f t="shared" si="29"/>
        <v>0</v>
      </c>
      <c r="AN60" s="28">
        <f t="shared" si="30"/>
        <v>0</v>
      </c>
      <c r="AO60" s="120" t="s">
        <v>65</v>
      </c>
      <c r="AP60" s="4"/>
      <c r="AQ60" s="72"/>
    </row>
    <row r="61" spans="1:42" ht="15">
      <c r="A61" s="7" t="s">
        <v>224</v>
      </c>
      <c r="B61" s="6">
        <f>+'[14]PGTO por contrato'!$E$211</f>
        <v>0</v>
      </c>
      <c r="C61" s="6">
        <f>+'[14]PGTO por contrato'!$E$212+'[14]PGTO por contrato'!$E$213</f>
        <v>0</v>
      </c>
      <c r="D61" s="6">
        <f t="shared" si="25"/>
        <v>0</v>
      </c>
      <c r="E61" s="6">
        <f>+'[14]PGTO por contrato'!$F$211</f>
        <v>0</v>
      </c>
      <c r="F61" s="6">
        <f>+'[14]PGTO por contrato'!$F$212+'[14]PGTO por contrato'!$F$213</f>
        <v>0</v>
      </c>
      <c r="G61" s="6">
        <f t="shared" si="26"/>
        <v>0</v>
      </c>
      <c r="H61" s="6">
        <f>+'[14]PGTO por contrato'!$G$211</f>
        <v>0</v>
      </c>
      <c r="I61" s="6">
        <f>+'[14]PGTO por contrato'!$G$212+'[14]PGTO por contrato'!$G$213</f>
        <v>0</v>
      </c>
      <c r="J61" s="6">
        <f t="shared" si="27"/>
        <v>0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28">
        <f t="shared" si="28"/>
        <v>0</v>
      </c>
      <c r="AM61" s="28">
        <f t="shared" si="29"/>
        <v>0</v>
      </c>
      <c r="AN61" s="28">
        <f t="shared" si="30"/>
        <v>0</v>
      </c>
      <c r="AO61" s="120" t="s">
        <v>94</v>
      </c>
      <c r="AP61" s="4"/>
    </row>
    <row r="62" spans="1:42" ht="15">
      <c r="A62" s="7" t="s">
        <v>225</v>
      </c>
      <c r="B62" s="6">
        <f>+'[14]PGTO por contrato'!$E$215</f>
        <v>0</v>
      </c>
      <c r="C62" s="6">
        <f>+'[14]PGTO por contrato'!$E$216+'[14]PGTO por contrato'!$E$217</f>
        <v>0</v>
      </c>
      <c r="D62" s="6">
        <f t="shared" si="25"/>
        <v>0</v>
      </c>
      <c r="E62" s="6">
        <f>+'[14]PGTO por contrato'!$F$215</f>
        <v>0</v>
      </c>
      <c r="F62" s="6">
        <f>+'[14]PGTO por contrato'!$F$216+'[14]PGTO por contrato'!$F$217</f>
        <v>0</v>
      </c>
      <c r="G62" s="6">
        <f t="shared" si="26"/>
        <v>0</v>
      </c>
      <c r="H62" s="6">
        <f>+'[14]PGTO por contrato'!$G$215</f>
        <v>0</v>
      </c>
      <c r="I62" s="6">
        <f>+'[14]PGTO por contrato'!$G$216+'[14]PGTO por contrato'!$G$217</f>
        <v>0</v>
      </c>
      <c r="J62" s="6">
        <f t="shared" si="27"/>
        <v>0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28">
        <f t="shared" si="28"/>
        <v>0</v>
      </c>
      <c r="AM62" s="28">
        <f t="shared" si="29"/>
        <v>0</v>
      </c>
      <c r="AN62" s="28">
        <f t="shared" si="30"/>
        <v>0</v>
      </c>
      <c r="AO62" s="120" t="s">
        <v>84</v>
      </c>
      <c r="AP62" s="4"/>
    </row>
    <row r="63" spans="1:42" ht="15">
      <c r="A63" s="7" t="s">
        <v>226</v>
      </c>
      <c r="B63" s="6">
        <f>+'[14]PGTO por contrato'!$E$219</f>
        <v>0</v>
      </c>
      <c r="C63" s="6">
        <f>+'[14]PGTO por contrato'!$E$220+'[14]PGTO por contrato'!$E$221</f>
        <v>0</v>
      </c>
      <c r="D63" s="6">
        <f t="shared" si="25"/>
        <v>0</v>
      </c>
      <c r="E63" s="6">
        <f>+'[14]PGTO por contrato'!$F$219</f>
        <v>0</v>
      </c>
      <c r="F63" s="6">
        <f>+'[14]PGTO por contrato'!$F$220+'[14]PGTO por contrato'!$F$221</f>
        <v>0</v>
      </c>
      <c r="G63" s="6">
        <f t="shared" si="26"/>
        <v>0</v>
      </c>
      <c r="H63" s="6">
        <f>+'[14]PGTO por contrato'!$G$219</f>
        <v>0</v>
      </c>
      <c r="I63" s="6">
        <f>+'[14]PGTO por contrato'!$G$220+'[14]PGTO por contrato'!$G$221</f>
        <v>0</v>
      </c>
      <c r="J63" s="6">
        <f t="shared" si="27"/>
        <v>0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28">
        <f t="shared" si="28"/>
        <v>0</v>
      </c>
      <c r="AM63" s="28">
        <f t="shared" si="29"/>
        <v>0</v>
      </c>
      <c r="AN63" s="28">
        <f t="shared" si="30"/>
        <v>0</v>
      </c>
      <c r="AO63" s="120" t="s">
        <v>91</v>
      </c>
      <c r="AP63" s="4"/>
    </row>
    <row r="64" spans="1:43" ht="15">
      <c r="A64" s="7" t="s">
        <v>227</v>
      </c>
      <c r="B64" s="6">
        <f>+'[14]PGTO por contrato'!$E$207</f>
        <v>0</v>
      </c>
      <c r="C64" s="6">
        <f>+'[14]PGTO por contrato'!$E$208+'[14]PGTO por contrato'!$E$209</f>
        <v>0</v>
      </c>
      <c r="D64" s="6">
        <f t="shared" si="25"/>
        <v>0</v>
      </c>
      <c r="E64" s="6">
        <f>+'[14]PGTO por contrato'!$F$207</f>
        <v>0</v>
      </c>
      <c r="F64" s="6">
        <f>+'[14]PGTO por contrato'!$F$208+'[14]PGTO por contrato'!$F$209</f>
        <v>0</v>
      </c>
      <c r="G64" s="6">
        <f t="shared" si="26"/>
        <v>0</v>
      </c>
      <c r="H64" s="6">
        <f>+'[14]PGTO por contrato'!$G$207</f>
        <v>0</v>
      </c>
      <c r="I64" s="6">
        <f>+'[14]PGTO por contrato'!$G$208+'[14]PGTO por contrato'!$G$209</f>
        <v>0</v>
      </c>
      <c r="J64" s="6">
        <f t="shared" si="27"/>
        <v>0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28">
        <f t="shared" si="28"/>
        <v>0</v>
      </c>
      <c r="AM64" s="28">
        <f t="shared" si="29"/>
        <v>0</v>
      </c>
      <c r="AN64" s="28">
        <f t="shared" si="30"/>
        <v>0</v>
      </c>
      <c r="AO64" s="120" t="s">
        <v>69</v>
      </c>
      <c r="AP64" s="4"/>
      <c r="AQ64" s="72"/>
    </row>
    <row r="65" spans="1:43" ht="15">
      <c r="A65" s="20" t="s">
        <v>144</v>
      </c>
      <c r="B65" s="21">
        <f aca="true" t="shared" si="31" ref="B65:G65">+SUM(B66:B69)</f>
        <v>0</v>
      </c>
      <c r="C65" s="21">
        <f t="shared" si="31"/>
        <v>0</v>
      </c>
      <c r="D65" s="21">
        <f t="shared" si="31"/>
        <v>0</v>
      </c>
      <c r="E65" s="21">
        <f t="shared" si="31"/>
        <v>0</v>
      </c>
      <c r="F65" s="21">
        <f t="shared" si="31"/>
        <v>0</v>
      </c>
      <c r="G65" s="21">
        <f t="shared" si="31"/>
        <v>0</v>
      </c>
      <c r="H65" s="21">
        <f>+SUM(H66:H69)</f>
        <v>0</v>
      </c>
      <c r="I65" s="21">
        <f>+SUM(I66:I69)</f>
        <v>0</v>
      </c>
      <c r="J65" s="21">
        <f>+SUM(J66:J69)</f>
        <v>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>
        <f>+SUM(AL66:AL69)</f>
        <v>0</v>
      </c>
      <c r="AM65" s="21">
        <f>+SUM(AM66:AM69)</f>
        <v>0</v>
      </c>
      <c r="AN65" s="21">
        <f>+SUM(AN66:AN69)</f>
        <v>0</v>
      </c>
      <c r="AO65" s="120"/>
      <c r="AP65" s="4"/>
      <c r="AQ65" s="72"/>
    </row>
    <row r="66" spans="1:43" ht="15">
      <c r="A66" s="7" t="s">
        <v>228</v>
      </c>
      <c r="B66" s="6">
        <f>+'[14]PGTO por contrato'!$E$223</f>
        <v>0</v>
      </c>
      <c r="C66" s="6">
        <f>+'[14]PGTO por contrato'!$E$224+'[14]PGTO por contrato'!$E$225</f>
        <v>0</v>
      </c>
      <c r="D66" s="6">
        <f>+C66+B66</f>
        <v>0</v>
      </c>
      <c r="E66" s="6">
        <f>+'[14]PGTO por contrato'!$F$223</f>
        <v>0</v>
      </c>
      <c r="F66" s="6">
        <f>+'[14]PGTO por contrato'!$F$224+'[14]PGTO por contrato'!$F$225</f>
        <v>0</v>
      </c>
      <c r="G66" s="6">
        <f>+F66+E66</f>
        <v>0</v>
      </c>
      <c r="H66" s="6">
        <f>+'[14]PGTO por contrato'!$G$223</f>
        <v>0</v>
      </c>
      <c r="I66" s="6">
        <f>+'[14]PGTO por contrato'!$G$224+'[14]PGTO por contrato'!$G$225</f>
        <v>0</v>
      </c>
      <c r="J66" s="6">
        <f>+I66+H66</f>
        <v>0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28">
        <f aca="true" t="shared" si="32" ref="AL66:AM69">B66+E66+H66+K66+N66+Q66+T66+W66+Z66+AC66+AF66+AI66</f>
        <v>0</v>
      </c>
      <c r="AM66" s="28">
        <f t="shared" si="32"/>
        <v>0</v>
      </c>
      <c r="AN66" s="28">
        <f>+AL66+AM66</f>
        <v>0</v>
      </c>
      <c r="AO66" s="120" t="s">
        <v>75</v>
      </c>
      <c r="AP66" s="4"/>
      <c r="AQ66" s="72"/>
    </row>
    <row r="67" spans="1:43" ht="15">
      <c r="A67" s="7" t="s">
        <v>229</v>
      </c>
      <c r="B67" s="6">
        <f>+'[14]PGTO por contrato'!$E$227</f>
        <v>0</v>
      </c>
      <c r="C67" s="6">
        <f>+'[14]PGTO por contrato'!$E$228+'[14]PGTO por contrato'!$E$229</f>
        <v>0</v>
      </c>
      <c r="D67" s="6">
        <f>+C67+B67</f>
        <v>0</v>
      </c>
      <c r="E67" s="6">
        <f>+'[14]PGTO por contrato'!$F$227</f>
        <v>0</v>
      </c>
      <c r="F67" s="6">
        <f>+'[14]PGTO por contrato'!$F$228+'[14]PGTO por contrato'!$F$229</f>
        <v>0</v>
      </c>
      <c r="G67" s="6">
        <f>+F67+E67</f>
        <v>0</v>
      </c>
      <c r="H67" s="6">
        <f>+'[14]PGTO por contrato'!$G$227</f>
        <v>0</v>
      </c>
      <c r="I67" s="6">
        <f>+'[14]PGTO por contrato'!$G$228+'[14]PGTO por contrato'!$G$229</f>
        <v>0</v>
      </c>
      <c r="J67" s="6">
        <f>+I67+H67</f>
        <v>0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28">
        <f t="shared" si="32"/>
        <v>0</v>
      </c>
      <c r="AM67" s="28">
        <f t="shared" si="32"/>
        <v>0</v>
      </c>
      <c r="AN67" s="28">
        <f>+AL67+AM67</f>
        <v>0</v>
      </c>
      <c r="AO67" s="120" t="s">
        <v>76</v>
      </c>
      <c r="AP67" s="4"/>
      <c r="AQ67" s="72"/>
    </row>
    <row r="68" spans="1:43" ht="15">
      <c r="A68" s="7" t="s">
        <v>230</v>
      </c>
      <c r="B68" s="6">
        <f>+'[14]PGTO por contrato'!$E$231</f>
        <v>0</v>
      </c>
      <c r="C68" s="6">
        <f>+'[14]PGTO por contrato'!$E$232+'[14]PGTO por contrato'!$E$233</f>
        <v>0</v>
      </c>
      <c r="D68" s="6">
        <f>+C68+B68</f>
        <v>0</v>
      </c>
      <c r="E68" s="6">
        <f>+'[14]PGTO por contrato'!$F$231</f>
        <v>0</v>
      </c>
      <c r="F68" s="6">
        <f>+'[14]PGTO por contrato'!$F$232+'[14]PGTO por contrato'!$F$233</f>
        <v>0</v>
      </c>
      <c r="G68" s="6">
        <f>+F68+E68</f>
        <v>0</v>
      </c>
      <c r="H68" s="6">
        <f>+'[14]PGTO por contrato'!$G$231</f>
        <v>0</v>
      </c>
      <c r="I68" s="6">
        <f>+'[14]PGTO por contrato'!$G$232+'[14]PGTO por contrato'!$G$233</f>
        <v>0</v>
      </c>
      <c r="J68" s="6">
        <f>+I68+H68</f>
        <v>0</v>
      </c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28">
        <f t="shared" si="32"/>
        <v>0</v>
      </c>
      <c r="AM68" s="28">
        <f t="shared" si="32"/>
        <v>0</v>
      </c>
      <c r="AN68" s="28">
        <f>+AL68+AM68</f>
        <v>0</v>
      </c>
      <c r="AO68" s="120" t="s">
        <v>73</v>
      </c>
      <c r="AP68" s="4"/>
      <c r="AQ68" s="72"/>
    </row>
    <row r="69" spans="1:43" ht="15">
      <c r="A69" s="7" t="s">
        <v>231</v>
      </c>
      <c r="B69" s="6">
        <f>+'[14]PGTO por contrato'!$E$235</f>
        <v>0</v>
      </c>
      <c r="C69" s="6">
        <f>+'[14]PGTO por contrato'!$E$236+'[14]PGTO por contrato'!$E$237</f>
        <v>0</v>
      </c>
      <c r="D69" s="6">
        <f>+C69+B69</f>
        <v>0</v>
      </c>
      <c r="E69" s="6">
        <f>+'[14]PGTO por contrato'!$F$235</f>
        <v>0</v>
      </c>
      <c r="F69" s="6">
        <f>+'[14]PGTO por contrato'!$F$236+'[14]PGTO por contrato'!$F$237</f>
        <v>0</v>
      </c>
      <c r="G69" s="6">
        <f>+F69+E69</f>
        <v>0</v>
      </c>
      <c r="H69" s="6">
        <f>+'[14]PGTO por contrato'!$G$235</f>
        <v>0</v>
      </c>
      <c r="I69" s="6">
        <f>+'[14]PGTO por contrato'!$G$236+'[14]PGTO por contrato'!$G$237</f>
        <v>0</v>
      </c>
      <c r="J69" s="6">
        <f>+I69+H69</f>
        <v>0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28">
        <f t="shared" si="32"/>
        <v>0</v>
      </c>
      <c r="AM69" s="28">
        <f t="shared" si="32"/>
        <v>0</v>
      </c>
      <c r="AN69" s="28">
        <f>+AL69+AM69</f>
        <v>0</v>
      </c>
      <c r="AO69" s="120" t="s">
        <v>74</v>
      </c>
      <c r="AP69" s="4"/>
      <c r="AQ69" s="72"/>
    </row>
    <row r="70" spans="1:43" ht="15">
      <c r="A70" s="20" t="s">
        <v>145</v>
      </c>
      <c r="B70" s="21">
        <f aca="true" t="shared" si="33" ref="B70:J70">+B71</f>
        <v>0</v>
      </c>
      <c r="C70" s="21">
        <f t="shared" si="33"/>
        <v>0</v>
      </c>
      <c r="D70" s="21">
        <f t="shared" si="33"/>
        <v>0</v>
      </c>
      <c r="E70" s="21">
        <f t="shared" si="33"/>
        <v>0</v>
      </c>
      <c r="F70" s="21">
        <f t="shared" si="33"/>
        <v>0</v>
      </c>
      <c r="G70" s="21">
        <f t="shared" si="33"/>
        <v>0</v>
      </c>
      <c r="H70" s="21">
        <f t="shared" si="33"/>
        <v>0</v>
      </c>
      <c r="I70" s="21">
        <f t="shared" si="33"/>
        <v>0</v>
      </c>
      <c r="J70" s="21">
        <f t="shared" si="33"/>
        <v>0</v>
      </c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>
        <f>+AL71</f>
        <v>0</v>
      </c>
      <c r="AM70" s="21">
        <f>+AM71</f>
        <v>0</v>
      </c>
      <c r="AN70" s="21">
        <f>+AN71</f>
        <v>0</v>
      </c>
      <c r="AO70" s="120"/>
      <c r="AP70" s="4"/>
      <c r="AQ70" s="72"/>
    </row>
    <row r="71" spans="1:43" ht="15">
      <c r="A71" s="7" t="s">
        <v>72</v>
      </c>
      <c r="B71" s="6">
        <f>+'[14]PGTO por contrato'!$E$239</f>
        <v>0</v>
      </c>
      <c r="C71" s="6">
        <f>+'[14]PGTO por contrato'!$E$240+'[14]PGTO por contrato'!$E$241</f>
        <v>0</v>
      </c>
      <c r="D71" s="6">
        <f>+C71+B71</f>
        <v>0</v>
      </c>
      <c r="E71" s="6">
        <f>+'[14]PGTO por contrato'!$F$239</f>
        <v>0</v>
      </c>
      <c r="F71" s="6">
        <f>+'[14]PGTO por contrato'!$F$240+'[14]PGTO por contrato'!$F$241</f>
        <v>0</v>
      </c>
      <c r="G71" s="6">
        <f>+F71+E71</f>
        <v>0</v>
      </c>
      <c r="H71" s="6">
        <f>+'[14]PGTO por contrato'!$G$239</f>
        <v>0</v>
      </c>
      <c r="I71" s="6">
        <f>+'[14]PGTO por contrato'!$G$240+'[14]PGTO por contrato'!$G$241</f>
        <v>0</v>
      </c>
      <c r="J71" s="6">
        <f>+I71+H71</f>
        <v>0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28"/>
      <c r="AM71" s="28">
        <f>C71+F71+I71+L71+O71+R71+U71+X71+AA71+AD71+AG71+AJ71</f>
        <v>0</v>
      </c>
      <c r="AN71" s="28">
        <f>+AL71+AM71</f>
        <v>0</v>
      </c>
      <c r="AO71" s="120" t="s">
        <v>68</v>
      </c>
      <c r="AP71" s="4"/>
      <c r="AQ71" s="72"/>
    </row>
    <row r="72" spans="1:44" s="5" customFormat="1" ht="15">
      <c r="A72" s="15" t="s">
        <v>7</v>
      </c>
      <c r="B72" s="19">
        <f>+'[15]CONSOLIDADA'!$D$16+'[15]CONSOLIDADA'!$D$25</f>
        <v>891053.28</v>
      </c>
      <c r="C72" s="19">
        <f>+'[15]CONSOLIDADA'!$C$16+'[15]CONSOLIDADA'!$C$25</f>
        <v>661674.61</v>
      </c>
      <c r="D72" s="19">
        <f>B72+C72</f>
        <v>1552727.8900000001</v>
      </c>
      <c r="E72" s="19">
        <f>+'[17]CONSOLIDADA'!$D$16+'[17]CONSOLIDADA'!$D$25-B72</f>
        <v>1064067.8399999999</v>
      </c>
      <c r="F72" s="19">
        <f>+'[17]CONSOLIDADA'!$C$16+'[17]CONSOLIDADA'!$C$25-C72</f>
        <v>868960.2599999999</v>
      </c>
      <c r="G72" s="19">
        <f>E72+F72</f>
        <v>1933028.0999999996</v>
      </c>
      <c r="H72" s="19">
        <f>+'[18]CONSOLIDADA'!$D$10-B72-E72</f>
        <v>1379098.7800000003</v>
      </c>
      <c r="I72" s="19">
        <f>+'[18]CONSOLIDADA'!$C$12+'[18]CONSOLIDADA'!$C$15+'[18]CONSOLIDADA'!$C$25+'[18]CONSOLIDADA'!$C$48-C72-F72</f>
        <v>584776.5100000001</v>
      </c>
      <c r="J72" s="19">
        <f>H72+I72</f>
        <v>1963875.2900000005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>
        <f>B72+E72+H72+K72+N72+Q72+T72+W72+Z72+AC72+AF72+AI72</f>
        <v>3334219.9000000004</v>
      </c>
      <c r="AM72" s="19">
        <f>C72+F72+I72+L72+O72+R72+U72+X72+AA72+AD72+AG72+AJ72</f>
        <v>2115411.38</v>
      </c>
      <c r="AN72" s="19">
        <f>D72+G72+J72+M72+P72+S72+V72+Y72+AB72+AE72+AH72+AK72</f>
        <v>5449631.28</v>
      </c>
      <c r="AO72" s="52"/>
      <c r="AQ72" s="122"/>
      <c r="AR72" s="122"/>
    </row>
    <row r="73" spans="1:44" s="5" customFormat="1" ht="15">
      <c r="A73" s="15" t="s">
        <v>8</v>
      </c>
      <c r="B73" s="19">
        <f aca="true" t="shared" si="34" ref="B73:G73">+B72+B10</f>
        <v>208307019.9</v>
      </c>
      <c r="C73" s="19">
        <f t="shared" si="34"/>
        <v>283998848.89000005</v>
      </c>
      <c r="D73" s="19">
        <f t="shared" si="34"/>
        <v>492305868.79</v>
      </c>
      <c r="E73" s="19">
        <f t="shared" si="34"/>
        <v>186326207.29000002</v>
      </c>
      <c r="F73" s="19">
        <f t="shared" si="34"/>
        <v>480448213.15999997</v>
      </c>
      <c r="G73" s="19">
        <f t="shared" si="34"/>
        <v>666774420.4499999</v>
      </c>
      <c r="H73" s="19">
        <f>+H72+H10</f>
        <v>291481849.68999994</v>
      </c>
      <c r="I73" s="19">
        <f>+I72+I10</f>
        <v>483793873.14000005</v>
      </c>
      <c r="J73" s="19">
        <f>+J72+J10</f>
        <v>775275722.83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>
        <f>B73+E73+H73+K73+N73+Q73+T73+W73+Z73+AC73+AF73+AI73</f>
        <v>686115076.88</v>
      </c>
      <c r="AM73" s="19">
        <f>C73+F73+I73+L73+O73+R73+U73+X73+AA73+AD73+AG73+AJ73</f>
        <v>1248240935.19</v>
      </c>
      <c r="AN73" s="19">
        <f>D73+G73+J73+M73+P73+S73+V73+Y73+AB73+AE73+AH73+AK73</f>
        <v>1934356012.0700002</v>
      </c>
      <c r="AO73" s="49"/>
      <c r="AQ73" s="72"/>
      <c r="AR73" s="73"/>
    </row>
    <row r="74" spans="1:43" s="5" customFormat="1" ht="15.75" hidden="1">
      <c r="A74" s="15" t="s">
        <v>89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>
        <f>D74+G74+J74+M74+P74+S74+V74+Y74+AB74+AE74+AH74+AK74</f>
        <v>0</v>
      </c>
      <c r="AO74" s="124"/>
      <c r="AQ74" s="72"/>
    </row>
    <row r="75" spans="1:43" s="5" customFormat="1" ht="15" hidden="1">
      <c r="A75" s="25" t="s">
        <v>28</v>
      </c>
      <c r="B75" s="26"/>
      <c r="C75" s="26"/>
      <c r="D75" s="26" t="e">
        <f>+D73/D74</f>
        <v>#DIV/0!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 t="e">
        <f>+AN73/AN74</f>
        <v>#DIV/0!</v>
      </c>
      <c r="AO75" s="49"/>
      <c r="AQ75" s="72"/>
    </row>
    <row r="76" spans="1:43" ht="15">
      <c r="A76" s="126" t="s">
        <v>90</v>
      </c>
      <c r="B76" s="64"/>
      <c r="C76" s="65"/>
      <c r="D76" s="65"/>
      <c r="E76" s="52"/>
      <c r="F76" s="52"/>
      <c r="G76" s="50"/>
      <c r="H76" s="52"/>
      <c r="I76" s="52"/>
      <c r="J76" s="24"/>
      <c r="K76" s="81"/>
      <c r="L76" s="67"/>
      <c r="M76" s="66"/>
      <c r="N76" s="52"/>
      <c r="O76" s="67"/>
      <c r="P76" s="24"/>
      <c r="Q76" s="75"/>
      <c r="R76" s="75"/>
      <c r="S76" s="24"/>
      <c r="T76" s="75"/>
      <c r="U76" s="75"/>
      <c r="V76" s="91"/>
      <c r="W76" s="75"/>
      <c r="X76" s="75"/>
      <c r="Y76" s="24"/>
      <c r="Z76" s="78">
        <f>Z10-234874102.26</f>
        <v>-234874102.26</v>
      </c>
      <c r="AA76" s="77"/>
      <c r="AB76" s="24"/>
      <c r="AC76" s="80"/>
      <c r="AD76" s="80"/>
      <c r="AE76" s="24"/>
      <c r="AF76" s="81"/>
      <c r="AG76" s="81"/>
      <c r="AH76" s="24"/>
      <c r="AI76" s="68"/>
      <c r="AJ76" s="64"/>
      <c r="AK76" s="24"/>
      <c r="AL76" s="50"/>
      <c r="AM76" s="24"/>
      <c r="AN76" s="24"/>
      <c r="AQ76" s="72"/>
    </row>
    <row r="77" spans="1:43" ht="15">
      <c r="A77" s="24"/>
      <c r="B77" s="24"/>
      <c r="C77" s="50"/>
      <c r="D77" s="24"/>
      <c r="E77" s="24"/>
      <c r="F77" s="50"/>
      <c r="G77" s="24"/>
      <c r="H77" s="56"/>
      <c r="I77" s="56"/>
      <c r="J77" s="24"/>
      <c r="K77" s="24"/>
      <c r="L77" s="24"/>
      <c r="M77" s="24"/>
      <c r="N77" s="24"/>
      <c r="O77" s="24"/>
      <c r="P77" s="50"/>
      <c r="Q77" s="24"/>
      <c r="R77" s="76"/>
      <c r="S77" s="24"/>
      <c r="T77" s="24"/>
      <c r="U77" s="24"/>
      <c r="V77" s="69"/>
      <c r="W77" s="24"/>
      <c r="X77" s="24"/>
      <c r="Y77" s="24"/>
      <c r="Z77" s="63"/>
      <c r="AA77" s="63"/>
      <c r="AB77" s="24"/>
      <c r="AC77" s="79"/>
      <c r="AD77" s="79"/>
      <c r="AE77" s="24"/>
      <c r="AF77" s="24"/>
      <c r="AG77" s="24"/>
      <c r="AH77" s="24"/>
      <c r="AI77" s="50"/>
      <c r="AJ77" s="24"/>
      <c r="AK77" s="24"/>
      <c r="AL77" s="52"/>
      <c r="AM77" s="52"/>
      <c r="AN77" s="52"/>
      <c r="AQ77" s="72"/>
    </row>
    <row r="78" spans="1:40" ht="15">
      <c r="A78" s="55"/>
      <c r="B78" s="55"/>
      <c r="C78" s="55"/>
      <c r="D78" s="55"/>
      <c r="E78" s="55"/>
      <c r="F78" s="55"/>
      <c r="G78" s="55"/>
      <c r="H78" s="101"/>
      <c r="I78" s="101"/>
      <c r="J78" s="55"/>
      <c r="K78" s="55"/>
      <c r="L78" s="101"/>
      <c r="M78" s="101"/>
      <c r="N78" s="55"/>
      <c r="O78" s="74"/>
      <c r="P78" s="24"/>
      <c r="Q78" s="24"/>
      <c r="R78" s="24"/>
      <c r="S78" s="24"/>
      <c r="T78" s="24"/>
      <c r="U78" s="24"/>
      <c r="V78" s="69"/>
      <c r="W78" s="24"/>
      <c r="X78" s="24"/>
      <c r="Y78" s="24"/>
      <c r="Z78" s="63"/>
      <c r="AA78" s="63"/>
      <c r="AB78" s="24"/>
      <c r="AC78" s="24"/>
      <c r="AD78" s="24"/>
      <c r="AE78" s="70"/>
      <c r="AF78" s="24"/>
      <c r="AG78" s="24"/>
      <c r="AH78" s="24"/>
      <c r="AI78" s="24"/>
      <c r="AJ78" s="24"/>
      <c r="AK78" s="24"/>
      <c r="AL78" s="118"/>
      <c r="AM78" s="52"/>
      <c r="AN78" s="52"/>
    </row>
    <row r="79" spans="1:40" ht="15">
      <c r="A79" s="49"/>
      <c r="B79" s="49"/>
      <c r="C79" s="49"/>
      <c r="D79" s="49"/>
      <c r="E79" s="55"/>
      <c r="F79" s="55"/>
      <c r="G79" s="55"/>
      <c r="H79" s="101"/>
      <c r="I79" s="101"/>
      <c r="J79" s="55"/>
      <c r="K79" s="55"/>
      <c r="L79" s="121"/>
      <c r="M79" s="55"/>
      <c r="N79" s="65"/>
      <c r="O79" s="24"/>
      <c r="P79" s="50"/>
      <c r="Q79" s="24"/>
      <c r="R79" s="24"/>
      <c r="S79" s="24"/>
      <c r="T79" s="24"/>
      <c r="U79" s="24"/>
      <c r="V79" s="24"/>
      <c r="W79" s="24"/>
      <c r="X79" s="24"/>
      <c r="Y79" s="24"/>
      <c r="Z79" s="50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118"/>
      <c r="AM79" s="118"/>
      <c r="AN79" s="118"/>
    </row>
    <row r="80" spans="1:40" ht="15">
      <c r="A80" s="51" t="s">
        <v>38</v>
      </c>
      <c r="B80" s="51" t="s">
        <v>39</v>
      </c>
      <c r="C80" s="51" t="s">
        <v>40</v>
      </c>
      <c r="D80" s="51" t="s">
        <v>53</v>
      </c>
      <c r="E80" s="51" t="s">
        <v>41</v>
      </c>
      <c r="F80" s="51" t="s">
        <v>42</v>
      </c>
      <c r="G80" s="51" t="s">
        <v>43</v>
      </c>
      <c r="H80" s="51" t="s">
        <v>44</v>
      </c>
      <c r="I80" s="51" t="s">
        <v>45</v>
      </c>
      <c r="J80" s="51" t="s">
        <v>46</v>
      </c>
      <c r="K80" s="51" t="s">
        <v>47</v>
      </c>
      <c r="L80" s="51" t="s">
        <v>48</v>
      </c>
      <c r="M80" s="55"/>
      <c r="N80" s="101"/>
      <c r="O80" s="63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52"/>
      <c r="AM80" s="52"/>
      <c r="AN80" s="52"/>
    </row>
    <row r="81" spans="1:40" ht="15">
      <c r="A81" s="52">
        <f>D73</f>
        <v>492305868.79</v>
      </c>
      <c r="B81" s="52">
        <f>G73</f>
        <v>666774420.4499999</v>
      </c>
      <c r="C81" s="52">
        <f>J73</f>
        <v>775275722.83</v>
      </c>
      <c r="D81" s="52">
        <f>M73</f>
        <v>0</v>
      </c>
      <c r="E81" s="52">
        <f>P73</f>
        <v>0</v>
      </c>
      <c r="F81" s="52">
        <f>S73</f>
        <v>0</v>
      </c>
      <c r="G81" s="52">
        <f>V73</f>
        <v>0</v>
      </c>
      <c r="H81" s="52">
        <f>Y73</f>
        <v>0</v>
      </c>
      <c r="I81" s="52">
        <f>AB73</f>
        <v>0</v>
      </c>
      <c r="J81" s="52">
        <f>AE73</f>
        <v>0</v>
      </c>
      <c r="K81" s="52">
        <f>AH73</f>
        <v>0</v>
      </c>
      <c r="L81" s="52">
        <f>AK73</f>
        <v>0</v>
      </c>
      <c r="M81" s="55"/>
      <c r="N81" s="55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</row>
    <row r="82" spans="1:40" ht="26.25">
      <c r="A82" s="55"/>
      <c r="B82" s="55"/>
      <c r="C82" s="55"/>
      <c r="D82" s="55"/>
      <c r="E82" s="55"/>
      <c r="F82" s="53"/>
      <c r="G82" s="55"/>
      <c r="H82" s="55"/>
      <c r="I82" s="55"/>
      <c r="J82" s="55"/>
      <c r="K82" s="55"/>
      <c r="L82" s="55"/>
      <c r="M82" s="55"/>
      <c r="N82" s="55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</row>
    <row r="83" spans="1:40" ht="15">
      <c r="A83" s="24"/>
      <c r="B83" s="24"/>
      <c r="C83" s="24"/>
      <c r="D83" s="24"/>
      <c r="E83" s="24"/>
      <c r="F83" s="24"/>
      <c r="G83" s="54"/>
      <c r="H83" s="54"/>
      <c r="I83" s="5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</row>
    <row r="84" spans="1:40" ht="1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</row>
    <row r="97" spans="1:10" ht="15">
      <c r="A97" s="41"/>
      <c r="B97" s="41"/>
      <c r="C97" s="41"/>
      <c r="D97" s="41"/>
      <c r="E97" s="41"/>
      <c r="F97" s="41"/>
      <c r="G97" s="41"/>
      <c r="H97" s="41"/>
      <c r="I97" s="41"/>
      <c r="J97" s="41"/>
    </row>
    <row r="98" spans="1:10" ht="15">
      <c r="A98" s="41"/>
      <c r="B98" s="41"/>
      <c r="C98" s="41"/>
      <c r="D98" s="41"/>
      <c r="E98" s="41"/>
      <c r="F98" s="41"/>
      <c r="G98" s="41"/>
      <c r="H98" s="41"/>
      <c r="I98" s="41"/>
      <c r="J98" s="41"/>
    </row>
    <row r="99" spans="1:10" ht="15">
      <c r="A99" s="41"/>
      <c r="B99" s="41"/>
      <c r="C99" s="41"/>
      <c r="D99" s="41"/>
      <c r="E99" s="41"/>
      <c r="F99" s="41"/>
      <c r="G99" s="41"/>
      <c r="H99" s="41"/>
      <c r="I99" s="41"/>
      <c r="J99" s="41"/>
    </row>
    <row r="100" spans="1:10" ht="15">
      <c r="A100" s="41"/>
      <c r="B100" s="41"/>
      <c r="C100" s="41"/>
      <c r="D100" s="41"/>
      <c r="E100" s="41"/>
      <c r="F100" s="41"/>
      <c r="G100" s="41"/>
      <c r="H100" s="41"/>
      <c r="I100" s="41"/>
      <c r="J100" s="41"/>
    </row>
    <row r="101" spans="1:10" ht="15">
      <c r="A101" s="41"/>
      <c r="B101" s="41"/>
      <c r="C101" s="41"/>
      <c r="D101" s="41"/>
      <c r="E101" s="41"/>
      <c r="F101" s="41"/>
      <c r="G101" s="41"/>
      <c r="H101" s="41"/>
      <c r="I101" s="41"/>
      <c r="J101" s="41"/>
    </row>
    <row r="102" spans="1:10" ht="15">
      <c r="A102" s="41"/>
      <c r="B102" s="41"/>
      <c r="C102" s="41"/>
      <c r="D102" s="41"/>
      <c r="E102" s="41"/>
      <c r="F102" s="41"/>
      <c r="G102" s="41"/>
      <c r="H102" s="41"/>
      <c r="I102" s="41"/>
      <c r="J102" s="41"/>
    </row>
    <row r="103" spans="1:10" ht="15">
      <c r="A103" s="41"/>
      <c r="B103" s="41"/>
      <c r="C103" s="41"/>
      <c r="D103" s="41"/>
      <c r="E103" s="41"/>
      <c r="F103" s="41"/>
      <c r="G103" s="41"/>
      <c r="H103" s="41"/>
      <c r="I103" s="41"/>
      <c r="J103" s="41"/>
    </row>
    <row r="104" spans="1:10" ht="15">
      <c r="A104" s="41"/>
      <c r="B104" s="41"/>
      <c r="C104" s="41"/>
      <c r="D104" s="41"/>
      <c r="E104" s="41"/>
      <c r="F104" s="41"/>
      <c r="G104" s="41"/>
      <c r="H104" s="41"/>
      <c r="I104" s="41"/>
      <c r="J104" s="41"/>
    </row>
    <row r="105" spans="1:10" ht="15">
      <c r="A105" s="47"/>
      <c r="B105" s="47"/>
      <c r="C105" s="47"/>
      <c r="D105" s="47"/>
      <c r="E105" s="47"/>
      <c r="F105" s="47"/>
      <c r="G105" s="41"/>
      <c r="H105" s="41"/>
      <c r="I105" s="41"/>
      <c r="J105" s="41"/>
    </row>
    <row r="106" spans="1:10" ht="15">
      <c r="A106" s="47"/>
      <c r="B106" s="47"/>
      <c r="C106" s="47"/>
      <c r="D106" s="47"/>
      <c r="E106" s="47"/>
      <c r="F106" s="47"/>
      <c r="G106" s="41"/>
      <c r="H106" s="41"/>
      <c r="I106" s="41"/>
      <c r="J106" s="41"/>
    </row>
    <row r="107" spans="1:10" ht="15">
      <c r="A107" s="47"/>
      <c r="B107" s="47"/>
      <c r="C107" s="47"/>
      <c r="D107" s="47"/>
      <c r="E107" s="47"/>
      <c r="F107" s="47"/>
      <c r="G107" s="41"/>
      <c r="H107" s="41"/>
      <c r="I107" s="41"/>
      <c r="J107" s="41"/>
    </row>
    <row r="108" spans="1:10" ht="15">
      <c r="A108" s="55"/>
      <c r="B108" s="55"/>
      <c r="C108" s="55"/>
      <c r="D108" s="47"/>
      <c r="E108" s="47"/>
      <c r="F108" s="47"/>
      <c r="G108" s="41"/>
      <c r="H108" s="41"/>
      <c r="I108" s="41"/>
      <c r="J108" s="41"/>
    </row>
    <row r="109" spans="1:10" ht="15">
      <c r="A109" s="55"/>
      <c r="B109" s="55"/>
      <c r="C109" s="55"/>
      <c r="D109" s="47"/>
      <c r="E109" s="47"/>
      <c r="F109" s="47"/>
      <c r="G109" s="41"/>
      <c r="H109" s="41"/>
      <c r="I109" s="41"/>
      <c r="J109" s="41"/>
    </row>
    <row r="110" spans="1:10" ht="15">
      <c r="A110" s="55"/>
      <c r="B110" s="55"/>
      <c r="C110" s="55"/>
      <c r="D110" s="47"/>
      <c r="E110" s="47"/>
      <c r="F110" s="47"/>
      <c r="G110" s="41"/>
      <c r="H110" s="41"/>
      <c r="I110" s="41"/>
      <c r="J110" s="41"/>
    </row>
    <row r="111" spans="1:10" ht="15">
      <c r="A111" s="49"/>
      <c r="B111" s="49"/>
      <c r="C111" s="49"/>
      <c r="D111" s="47"/>
      <c r="E111" s="47"/>
      <c r="F111" s="47"/>
      <c r="G111" s="41"/>
      <c r="H111" s="41"/>
      <c r="I111" s="41"/>
      <c r="J111" s="41"/>
    </row>
    <row r="112" spans="1:10" ht="15.75">
      <c r="A112" s="97" t="s">
        <v>23</v>
      </c>
      <c r="B112" s="97"/>
      <c r="C112" s="97"/>
      <c r="D112" s="32"/>
      <c r="E112" s="47"/>
      <c r="F112" s="47"/>
      <c r="G112" s="41"/>
      <c r="H112" s="41"/>
      <c r="I112" s="41"/>
      <c r="J112" s="41"/>
    </row>
    <row r="113" spans="1:7" ht="15.75">
      <c r="A113" s="97" t="s">
        <v>24</v>
      </c>
      <c r="B113" s="98">
        <f>+D11+G11+J11+M11+P11+S11+V11+Y11+AB11+AE11+AH11+AK11</f>
        <v>1838730549.99</v>
      </c>
      <c r="C113" s="99">
        <f>+B113/($B$113+$B$114)</f>
        <v>0.9532502812484515</v>
      </c>
      <c r="D113" s="32"/>
      <c r="E113" s="47"/>
      <c r="F113" s="47"/>
      <c r="G113" s="41"/>
    </row>
    <row r="114" spans="1:7" ht="15.75">
      <c r="A114" s="97" t="s">
        <v>25</v>
      </c>
      <c r="B114" s="100">
        <f>+D18+G18+J18+M18+P18+S18+V18+Y18+AB18+AE18+AH18+AK18</f>
        <v>90175830.8</v>
      </c>
      <c r="C114" s="99">
        <f>+B114/($B$113+$B$114)</f>
        <v>0.0467497187515486</v>
      </c>
      <c r="D114" s="32"/>
      <c r="E114" s="47"/>
      <c r="F114" s="47"/>
      <c r="G114" s="41"/>
    </row>
    <row r="115" spans="1:7" ht="15.75">
      <c r="A115" s="97"/>
      <c r="B115" s="100">
        <f>SUM(B113:B114)</f>
        <v>1928906380.79</v>
      </c>
      <c r="C115" s="97"/>
      <c r="D115" s="32"/>
      <c r="E115" s="47"/>
      <c r="F115" s="47"/>
      <c r="G115" s="41"/>
    </row>
    <row r="116" spans="1:7" ht="15.75">
      <c r="A116" s="97"/>
      <c r="B116" s="97"/>
      <c r="C116" s="97"/>
      <c r="D116" s="32"/>
      <c r="E116" s="47"/>
      <c r="F116" s="47"/>
      <c r="G116" s="41"/>
    </row>
    <row r="117" spans="1:7" ht="15.75">
      <c r="A117" s="97" t="s">
        <v>26</v>
      </c>
      <c r="B117" s="97"/>
      <c r="C117" s="97"/>
      <c r="D117" s="32"/>
      <c r="E117" s="47"/>
      <c r="F117" s="47"/>
      <c r="G117" s="41"/>
    </row>
    <row r="118" spans="1:7" ht="15.75">
      <c r="A118" s="97" t="s">
        <v>14</v>
      </c>
      <c r="B118" s="98">
        <f>+D19+G19+J19+M19+P19+S19+V19+Y19+AB19+AE19+AH19+AK19+(+D13+G13+J13+M13+P13+S13+V13+Y13+AB13+AE13+AH13+AK13)</f>
        <v>633865908.6899999</v>
      </c>
      <c r="C118" s="99">
        <f>+B118/($B$118+$B$119)</f>
        <v>1</v>
      </c>
      <c r="D118" s="32"/>
      <c r="E118" s="47"/>
      <c r="F118" s="47"/>
      <c r="G118" s="41"/>
    </row>
    <row r="119" spans="1:7" ht="15.75">
      <c r="A119" s="97" t="s">
        <v>15</v>
      </c>
      <c r="B119" s="100">
        <f>+D48+G48+J48+M48+P48+S48+V48+Y48+AB48+AE48+AH48+AK48</f>
        <v>0</v>
      </c>
      <c r="C119" s="99">
        <f>+B119/($B$118+$B$119)</f>
        <v>0</v>
      </c>
      <c r="D119" s="32"/>
      <c r="E119" s="47"/>
      <c r="F119" s="47"/>
      <c r="G119" s="41"/>
    </row>
    <row r="120" spans="1:7" ht="15.75">
      <c r="A120" s="97"/>
      <c r="B120" s="100">
        <f>SUM(B118:B119)</f>
        <v>633865908.6899999</v>
      </c>
      <c r="C120" s="97"/>
      <c r="D120" s="46"/>
      <c r="E120" s="47"/>
      <c r="F120" s="47"/>
      <c r="G120" s="41"/>
    </row>
    <row r="121" spans="1:7" ht="15">
      <c r="A121" s="55"/>
      <c r="B121" s="55"/>
      <c r="C121" s="55"/>
      <c r="D121" s="47"/>
      <c r="E121" s="47"/>
      <c r="F121" s="47"/>
      <c r="G121" s="41"/>
    </row>
    <row r="122" spans="1:7" ht="15">
      <c r="A122" s="55"/>
      <c r="B122" s="55"/>
      <c r="C122" s="55"/>
      <c r="D122" s="47"/>
      <c r="E122" s="47"/>
      <c r="F122" s="47"/>
      <c r="G122" s="41"/>
    </row>
    <row r="123" spans="1:7" ht="15">
      <c r="A123" s="55"/>
      <c r="B123" s="55"/>
      <c r="C123" s="55"/>
      <c r="D123" s="47"/>
      <c r="E123" s="47"/>
      <c r="F123" s="47"/>
      <c r="G123" s="41"/>
    </row>
    <row r="124" spans="1:6" ht="15">
      <c r="A124" s="55"/>
      <c r="B124" s="55"/>
      <c r="C124" s="55"/>
      <c r="D124" s="47"/>
      <c r="E124" s="24"/>
      <c r="F124" s="24"/>
    </row>
    <row r="125" spans="1:6" ht="15">
      <c r="A125" s="24"/>
      <c r="B125" s="24"/>
      <c r="C125" s="24"/>
      <c r="D125" s="24"/>
      <c r="E125" s="24"/>
      <c r="F125" s="24"/>
    </row>
  </sheetData>
  <sheetProtection/>
  <mergeCells count="14">
    <mergeCell ref="B8:D8"/>
    <mergeCell ref="A7:AN7"/>
    <mergeCell ref="AI8:AK8"/>
    <mergeCell ref="AL8:AN8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</mergeCells>
  <printOptions/>
  <pageMargins left="0.5118110236220472" right="0.5118110236220472" top="0.35" bottom="0.31" header="0.31496062992125984" footer="0.31496062992125984"/>
  <pageSetup fitToHeight="1" fitToWidth="1" horizontalDpi="600" verticalDpi="600" orientation="portrait" paperSize="9" scale="13" r:id="rId2"/>
  <rowBreaks count="1" manualBreakCount="1">
    <brk id="75" max="255" man="1"/>
  </rowBreaks>
  <colBreaks count="1" manualBreakCount="1">
    <brk id="19" max="65535" man="1"/>
  </colBreaks>
  <ignoredErrors>
    <ignoredError sqref="D37 D55 D29 D65 D33 D30 D31 D32 D70 D66 D67 D68:D69 AL30:AN30 AL31:AN31 AL32:AN32 AL66:AN66 AL67:AN67 AL68:AN68 AL69:AN69 AL65:AN65 AL70:AN70 AL29:AN29 AL33:AN33 AL55:AN55 AL37:AN37 AM40:AN40 D40 D45 AL45:AN45 AL4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102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6" sqref="C6"/>
    </sheetView>
  </sheetViews>
  <sheetFormatPr defaultColWidth="9.140625" defaultRowHeight="15" outlineLevelCol="1"/>
  <cols>
    <col min="1" max="1" width="71.7109375" style="0" customWidth="1"/>
    <col min="2" max="2" width="15.140625" style="0" customWidth="1"/>
    <col min="3" max="3" width="16.8515625" style="0" customWidth="1"/>
    <col min="4" max="4" width="18.421875" style="0" customWidth="1"/>
    <col min="5" max="5" width="15.140625" style="0" customWidth="1"/>
    <col min="6" max="6" width="16.8515625" style="0" customWidth="1"/>
    <col min="7" max="7" width="18.421875" style="0" customWidth="1"/>
    <col min="8" max="8" width="17.8515625" style="0" customWidth="1"/>
    <col min="9" max="9" width="16.8515625" style="0" customWidth="1"/>
    <col min="10" max="10" width="18.421875" style="0" customWidth="1"/>
    <col min="11" max="11" width="15.140625" style="0" customWidth="1"/>
    <col min="12" max="12" width="16.8515625" style="0" customWidth="1"/>
    <col min="13" max="13" width="15.00390625" style="0" customWidth="1"/>
    <col min="14" max="14" width="15.140625" style="0" customWidth="1"/>
    <col min="15" max="15" width="16.8515625" style="0" customWidth="1"/>
    <col min="16" max="16" width="18.421875" style="0" customWidth="1"/>
    <col min="17" max="17" width="15.140625" style="0" customWidth="1"/>
    <col min="18" max="18" width="16.8515625" style="0" customWidth="1"/>
    <col min="19" max="19" width="18.421875" style="0" customWidth="1"/>
    <col min="20" max="20" width="15.140625" style="0" customWidth="1"/>
    <col min="21" max="21" width="16.8515625" style="0" customWidth="1"/>
    <col min="22" max="22" width="18.421875" style="0" customWidth="1"/>
    <col min="23" max="23" width="15.140625" style="0" customWidth="1"/>
    <col min="24" max="24" width="16.8515625" style="0" customWidth="1"/>
    <col min="25" max="25" width="18.421875" style="0" customWidth="1"/>
    <col min="26" max="26" width="15.140625" style="0" customWidth="1"/>
    <col min="27" max="27" width="16.8515625" style="0" customWidth="1"/>
    <col min="28" max="28" width="18.421875" style="0" customWidth="1"/>
    <col min="29" max="29" width="15.140625" style="0" customWidth="1"/>
    <col min="30" max="30" width="16.8515625" style="0" customWidth="1"/>
    <col min="31" max="31" width="18.421875" style="0" customWidth="1"/>
    <col min="32" max="32" width="15.140625" style="0" customWidth="1"/>
    <col min="33" max="33" width="16.8515625" style="0" customWidth="1"/>
    <col min="34" max="34" width="18.421875" style="0" customWidth="1"/>
    <col min="35" max="35" width="15.140625" style="0" customWidth="1"/>
    <col min="36" max="36" width="16.8515625" style="0" customWidth="1"/>
    <col min="37" max="37" width="18.421875" style="0" customWidth="1"/>
    <col min="38" max="38" width="15.140625" style="0" customWidth="1"/>
    <col min="39" max="39" width="16.8515625" style="0" customWidth="1"/>
    <col min="40" max="40" width="18.421875" style="0" customWidth="1"/>
    <col min="41" max="41" width="15.140625" style="0" customWidth="1"/>
    <col min="42" max="42" width="16.8515625" style="0" customWidth="1"/>
    <col min="43" max="43" width="18.421875" style="0" customWidth="1"/>
    <col min="44" max="44" width="15.140625" style="0" customWidth="1"/>
    <col min="45" max="45" width="16.8515625" style="0" customWidth="1"/>
    <col min="46" max="46" width="18.421875" style="0" customWidth="1"/>
    <col min="47" max="47" width="15.140625" style="0" customWidth="1"/>
    <col min="48" max="48" width="16.8515625" style="0" customWidth="1"/>
    <col min="49" max="49" width="18.421875" style="0" customWidth="1"/>
    <col min="50" max="50" width="15.140625" style="0" customWidth="1"/>
    <col min="51" max="51" width="16.8515625" style="0" customWidth="1"/>
    <col min="52" max="52" width="18.421875" style="0" customWidth="1"/>
    <col min="53" max="53" width="15.140625" style="0" customWidth="1"/>
    <col min="54" max="54" width="16.8515625" style="0" customWidth="1"/>
    <col min="55" max="55" width="18.421875" style="0" customWidth="1"/>
    <col min="56" max="56" width="15.140625" style="0" customWidth="1"/>
    <col min="57" max="57" width="16.8515625" style="0" customWidth="1"/>
    <col min="58" max="58" width="18.421875" style="0" customWidth="1"/>
    <col min="59" max="59" width="15.8515625" style="0" customWidth="1"/>
    <col min="60" max="60" width="16.8515625" style="0" customWidth="1"/>
    <col min="61" max="62" width="15.8515625" style="0" customWidth="1"/>
    <col min="63" max="63" width="16.8515625" style="0" customWidth="1"/>
    <col min="64" max="65" width="15.8515625" style="0" customWidth="1"/>
    <col min="66" max="66" width="16.8515625" style="0" customWidth="1"/>
    <col min="67" max="68" width="15.8515625" style="0" customWidth="1"/>
    <col min="69" max="69" width="16.8515625" style="0" customWidth="1"/>
    <col min="70" max="71" width="15.8515625" style="0" customWidth="1"/>
    <col min="72" max="72" width="16.8515625" style="0" customWidth="1"/>
    <col min="73" max="74" width="15.8515625" style="0" customWidth="1"/>
    <col min="75" max="75" width="16.8515625" style="0" customWidth="1"/>
    <col min="76" max="77" width="15.8515625" style="0" customWidth="1"/>
    <col min="78" max="78" width="16.8515625" style="0" customWidth="1"/>
    <col min="79" max="79" width="15.8515625" style="0" customWidth="1"/>
    <col min="80" max="80" width="15.00390625" style="0" customWidth="1" outlineLevel="1"/>
    <col min="81" max="81" width="16.7109375" style="0" customWidth="1" outlineLevel="1"/>
    <col min="82" max="82" width="19.7109375" style="0" customWidth="1" outlineLevel="1"/>
    <col min="83" max="83" width="15.00390625" style="0" customWidth="1" outlineLevel="1"/>
    <col min="84" max="84" width="16.7109375" style="0" customWidth="1" outlineLevel="1"/>
    <col min="85" max="85" width="15.7109375" style="0" customWidth="1" outlineLevel="1"/>
    <col min="86" max="86" width="15.00390625" style="0" customWidth="1" outlineLevel="1"/>
    <col min="87" max="87" width="16.7109375" style="0" customWidth="1" outlineLevel="1"/>
    <col min="88" max="88" width="15.7109375" style="0" customWidth="1" outlineLevel="1"/>
    <col min="89" max="89" width="14.421875" style="0" customWidth="1"/>
    <col min="90" max="90" width="16.7109375" style="0" customWidth="1"/>
    <col min="91" max="91" width="14.421875" style="0" customWidth="1"/>
    <col min="92" max="92" width="40.8515625" style="39" customWidth="1"/>
  </cols>
  <sheetData>
    <row r="1" ht="15">
      <c r="CM1" s="102"/>
    </row>
    <row r="2" ht="15"/>
    <row r="3" spans="2:29" ht="15">
      <c r="B3" s="4"/>
      <c r="C3" s="4"/>
      <c r="D3" s="4"/>
      <c r="E3" s="4"/>
      <c r="F3" s="4"/>
      <c r="G3" s="4"/>
      <c r="H3" s="4"/>
      <c r="I3" s="4"/>
      <c r="J3" s="4"/>
      <c r="AC3" s="4"/>
    </row>
    <row r="4" spans="2:10" ht="15">
      <c r="B4" s="4"/>
      <c r="C4" s="4"/>
      <c r="D4" s="4"/>
      <c r="E4" s="4"/>
      <c r="F4" s="4"/>
      <c r="G4" s="4"/>
      <c r="H4" s="4"/>
      <c r="I4" s="4"/>
      <c r="J4" s="4"/>
    </row>
    <row r="5" spans="1:12" ht="21">
      <c r="A5" s="2" t="s">
        <v>260</v>
      </c>
      <c r="L5" s="4"/>
    </row>
    <row r="6" spans="1:94" ht="21">
      <c r="A6" s="142" t="s">
        <v>297</v>
      </c>
      <c r="CM6" s="43" t="s">
        <v>32</v>
      </c>
      <c r="CP6" s="110"/>
    </row>
    <row r="7" spans="1:94" ht="15.75">
      <c r="A7" s="128" t="s">
        <v>258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P7" s="110"/>
    </row>
    <row r="8" spans="1:91" ht="15">
      <c r="A8" s="17"/>
      <c r="B8" s="153" t="s">
        <v>105</v>
      </c>
      <c r="C8" s="153"/>
      <c r="D8" s="153"/>
      <c r="E8" s="153" t="s">
        <v>106</v>
      </c>
      <c r="F8" s="153"/>
      <c r="G8" s="153"/>
      <c r="H8" s="153" t="s">
        <v>107</v>
      </c>
      <c r="I8" s="153"/>
      <c r="J8" s="153"/>
      <c r="K8" s="153" t="s">
        <v>108</v>
      </c>
      <c r="L8" s="153"/>
      <c r="M8" s="153"/>
      <c r="N8" s="153" t="s">
        <v>109</v>
      </c>
      <c r="O8" s="153"/>
      <c r="P8" s="153"/>
      <c r="Q8" s="153" t="s">
        <v>110</v>
      </c>
      <c r="R8" s="153"/>
      <c r="S8" s="153"/>
      <c r="T8" s="153" t="s">
        <v>111</v>
      </c>
      <c r="U8" s="153"/>
      <c r="V8" s="153"/>
      <c r="W8" s="153" t="s">
        <v>112</v>
      </c>
      <c r="X8" s="153"/>
      <c r="Y8" s="153"/>
      <c r="Z8" s="153" t="s">
        <v>113</v>
      </c>
      <c r="AA8" s="153"/>
      <c r="AB8" s="153"/>
      <c r="AC8" s="153" t="s">
        <v>114</v>
      </c>
      <c r="AD8" s="153"/>
      <c r="AE8" s="153"/>
      <c r="AF8" s="153" t="s">
        <v>115</v>
      </c>
      <c r="AG8" s="153"/>
      <c r="AH8" s="153"/>
      <c r="AI8" s="153" t="s">
        <v>116</v>
      </c>
      <c r="AJ8" s="153"/>
      <c r="AK8" s="153"/>
      <c r="AL8" s="153" t="s">
        <v>117</v>
      </c>
      <c r="AM8" s="153"/>
      <c r="AN8" s="153"/>
      <c r="AO8" s="153" t="s">
        <v>118</v>
      </c>
      <c r="AP8" s="153"/>
      <c r="AQ8" s="153"/>
      <c r="AR8" s="153" t="s">
        <v>119</v>
      </c>
      <c r="AS8" s="153"/>
      <c r="AT8" s="153"/>
      <c r="AU8" s="153" t="s">
        <v>120</v>
      </c>
      <c r="AV8" s="153"/>
      <c r="AW8" s="153"/>
      <c r="AX8" s="153" t="s">
        <v>121</v>
      </c>
      <c r="AY8" s="153"/>
      <c r="AZ8" s="153"/>
      <c r="BA8" s="153" t="s">
        <v>122</v>
      </c>
      <c r="BB8" s="153"/>
      <c r="BC8" s="153"/>
      <c r="BD8" s="153" t="s">
        <v>123</v>
      </c>
      <c r="BE8" s="153"/>
      <c r="BF8" s="153"/>
      <c r="BG8" s="153" t="s">
        <v>124</v>
      </c>
      <c r="BH8" s="153"/>
      <c r="BI8" s="153"/>
      <c r="BJ8" s="153" t="s">
        <v>125</v>
      </c>
      <c r="BK8" s="153"/>
      <c r="BL8" s="153"/>
      <c r="BM8" s="153" t="s">
        <v>126</v>
      </c>
      <c r="BN8" s="153"/>
      <c r="BO8" s="153"/>
      <c r="BP8" s="153" t="s">
        <v>127</v>
      </c>
      <c r="BQ8" s="153"/>
      <c r="BR8" s="153"/>
      <c r="BS8" s="153" t="s">
        <v>236</v>
      </c>
      <c r="BT8" s="153"/>
      <c r="BU8" s="153"/>
      <c r="BV8" s="153" t="s">
        <v>237</v>
      </c>
      <c r="BW8" s="153"/>
      <c r="BX8" s="153"/>
      <c r="BY8" s="153" t="s">
        <v>238</v>
      </c>
      <c r="BZ8" s="153"/>
      <c r="CA8" s="153"/>
      <c r="CB8" s="153" t="s">
        <v>239</v>
      </c>
      <c r="CC8" s="153"/>
      <c r="CD8" s="153"/>
      <c r="CE8" s="153" t="s">
        <v>259</v>
      </c>
      <c r="CF8" s="153"/>
      <c r="CG8" s="153"/>
      <c r="CH8" s="154">
        <v>2052</v>
      </c>
      <c r="CI8" s="154"/>
      <c r="CJ8" s="154"/>
      <c r="CK8" s="153" t="s">
        <v>8</v>
      </c>
      <c r="CL8" s="153"/>
      <c r="CM8" s="153"/>
    </row>
    <row r="9" spans="1:91" ht="13.5" customHeight="1">
      <c r="A9" s="16"/>
      <c r="B9" s="18" t="s">
        <v>0</v>
      </c>
      <c r="C9" s="18" t="s">
        <v>16</v>
      </c>
      <c r="D9" s="18" t="s">
        <v>1</v>
      </c>
      <c r="E9" s="18" t="s">
        <v>0</v>
      </c>
      <c r="F9" s="18" t="s">
        <v>16</v>
      </c>
      <c r="G9" s="18" t="s">
        <v>1</v>
      </c>
      <c r="H9" s="18" t="s">
        <v>0</v>
      </c>
      <c r="I9" s="18" t="s">
        <v>16</v>
      </c>
      <c r="J9" s="18" t="s">
        <v>1</v>
      </c>
      <c r="K9" s="18" t="s">
        <v>0</v>
      </c>
      <c r="L9" s="18" t="s">
        <v>16</v>
      </c>
      <c r="M9" s="18" t="s">
        <v>1</v>
      </c>
      <c r="N9" s="18" t="s">
        <v>0</v>
      </c>
      <c r="O9" s="18" t="s">
        <v>16</v>
      </c>
      <c r="P9" s="18" t="s">
        <v>1</v>
      </c>
      <c r="Q9" s="18" t="s">
        <v>0</v>
      </c>
      <c r="R9" s="18" t="s">
        <v>16</v>
      </c>
      <c r="S9" s="18" t="s">
        <v>1</v>
      </c>
      <c r="T9" s="18" t="s">
        <v>0</v>
      </c>
      <c r="U9" s="18" t="s">
        <v>16</v>
      </c>
      <c r="V9" s="18" t="s">
        <v>1</v>
      </c>
      <c r="W9" s="18" t="s">
        <v>0</v>
      </c>
      <c r="X9" s="18" t="s">
        <v>16</v>
      </c>
      <c r="Y9" s="18" t="s">
        <v>1</v>
      </c>
      <c r="Z9" s="18" t="s">
        <v>0</v>
      </c>
      <c r="AA9" s="18" t="s">
        <v>16</v>
      </c>
      <c r="AB9" s="18" t="s">
        <v>1</v>
      </c>
      <c r="AC9" s="18" t="s">
        <v>0</v>
      </c>
      <c r="AD9" s="18" t="s">
        <v>16</v>
      </c>
      <c r="AE9" s="18" t="s">
        <v>1</v>
      </c>
      <c r="AF9" s="18" t="s">
        <v>0</v>
      </c>
      <c r="AG9" s="18" t="s">
        <v>16</v>
      </c>
      <c r="AH9" s="18" t="s">
        <v>1</v>
      </c>
      <c r="AI9" s="18" t="s">
        <v>0</v>
      </c>
      <c r="AJ9" s="18" t="s">
        <v>16</v>
      </c>
      <c r="AK9" s="18" t="s">
        <v>1</v>
      </c>
      <c r="AL9" s="18" t="s">
        <v>0</v>
      </c>
      <c r="AM9" s="18" t="s">
        <v>16</v>
      </c>
      <c r="AN9" s="18" t="s">
        <v>1</v>
      </c>
      <c r="AO9" s="18" t="s">
        <v>0</v>
      </c>
      <c r="AP9" s="18" t="s">
        <v>16</v>
      </c>
      <c r="AQ9" s="18" t="s">
        <v>1</v>
      </c>
      <c r="AR9" s="18" t="s">
        <v>0</v>
      </c>
      <c r="AS9" s="18" t="s">
        <v>16</v>
      </c>
      <c r="AT9" s="18" t="s">
        <v>1</v>
      </c>
      <c r="AU9" s="18" t="s">
        <v>0</v>
      </c>
      <c r="AV9" s="18" t="s">
        <v>16</v>
      </c>
      <c r="AW9" s="18" t="s">
        <v>1</v>
      </c>
      <c r="AX9" s="18" t="s">
        <v>0</v>
      </c>
      <c r="AY9" s="18" t="s">
        <v>16</v>
      </c>
      <c r="AZ9" s="18" t="s">
        <v>1</v>
      </c>
      <c r="BA9" s="18" t="s">
        <v>0</v>
      </c>
      <c r="BB9" s="18" t="s">
        <v>16</v>
      </c>
      <c r="BC9" s="18" t="s">
        <v>1</v>
      </c>
      <c r="BD9" s="18" t="s">
        <v>0</v>
      </c>
      <c r="BE9" s="18" t="s">
        <v>16</v>
      </c>
      <c r="BF9" s="18" t="s">
        <v>1</v>
      </c>
      <c r="BG9" s="18" t="s">
        <v>0</v>
      </c>
      <c r="BH9" s="18" t="s">
        <v>16</v>
      </c>
      <c r="BI9" s="18" t="s">
        <v>1</v>
      </c>
      <c r="BJ9" s="18" t="s">
        <v>0</v>
      </c>
      <c r="BK9" s="18" t="s">
        <v>16</v>
      </c>
      <c r="BL9" s="18" t="s">
        <v>1</v>
      </c>
      <c r="BM9" s="18" t="s">
        <v>0</v>
      </c>
      <c r="BN9" s="18" t="s">
        <v>16</v>
      </c>
      <c r="BO9" s="18" t="s">
        <v>1</v>
      </c>
      <c r="BP9" s="18" t="s">
        <v>0</v>
      </c>
      <c r="BQ9" s="18" t="s">
        <v>16</v>
      </c>
      <c r="BR9" s="18" t="s">
        <v>1</v>
      </c>
      <c r="BS9" s="18" t="s">
        <v>0</v>
      </c>
      <c r="BT9" s="18" t="s">
        <v>16</v>
      </c>
      <c r="BU9" s="18" t="s">
        <v>1</v>
      </c>
      <c r="BV9" s="18" t="s">
        <v>0</v>
      </c>
      <c r="BW9" s="18" t="s">
        <v>16</v>
      </c>
      <c r="BX9" s="18" t="s">
        <v>1</v>
      </c>
      <c r="BY9" s="18" t="s">
        <v>0</v>
      </c>
      <c r="BZ9" s="18" t="s">
        <v>16</v>
      </c>
      <c r="CA9" s="18" t="s">
        <v>1</v>
      </c>
      <c r="CB9" s="18" t="s">
        <v>0</v>
      </c>
      <c r="CC9" s="18" t="s">
        <v>16</v>
      </c>
      <c r="CD9" s="18" t="s">
        <v>1</v>
      </c>
      <c r="CE9" s="18" t="s">
        <v>0</v>
      </c>
      <c r="CF9" s="18" t="s">
        <v>16</v>
      </c>
      <c r="CG9" s="18" t="s">
        <v>1</v>
      </c>
      <c r="CH9" s="18" t="s">
        <v>0</v>
      </c>
      <c r="CI9" s="18" t="s">
        <v>16</v>
      </c>
      <c r="CJ9" s="18" t="s">
        <v>1</v>
      </c>
      <c r="CK9" s="18" t="s">
        <v>0</v>
      </c>
      <c r="CL9" s="18" t="s">
        <v>16</v>
      </c>
      <c r="CM9" s="18" t="s">
        <v>1</v>
      </c>
    </row>
    <row r="10" spans="1:95" ht="15">
      <c r="A10" s="15" t="s">
        <v>2</v>
      </c>
      <c r="B10" s="19">
        <f aca="true" t="shared" si="0" ref="B10:AD10">+B11+B17</f>
        <v>1963648169.7479637</v>
      </c>
      <c r="C10" s="19">
        <f t="shared" si="0"/>
        <v>8067501113.513061</v>
      </c>
      <c r="D10" s="19">
        <f t="shared" si="0"/>
        <v>10031149283.261024</v>
      </c>
      <c r="E10" s="19">
        <f t="shared" si="0"/>
        <v>2747874645.0410614</v>
      </c>
      <c r="F10" s="19">
        <f t="shared" si="0"/>
        <v>8872743490.2421</v>
      </c>
      <c r="G10" s="19">
        <f t="shared" si="0"/>
        <v>11620618135.283161</v>
      </c>
      <c r="H10" s="19">
        <f t="shared" si="0"/>
        <v>4322935096.338783</v>
      </c>
      <c r="I10" s="19">
        <f t="shared" si="0"/>
        <v>8956129129.770971</v>
      </c>
      <c r="J10" s="19">
        <f t="shared" si="0"/>
        <v>13279064226.109755</v>
      </c>
      <c r="K10" s="19">
        <f t="shared" si="0"/>
        <v>5915083342.626831</v>
      </c>
      <c r="L10" s="19">
        <f t="shared" si="0"/>
        <v>8933694779.885601</v>
      </c>
      <c r="M10" s="19">
        <f t="shared" si="0"/>
        <v>14848778122.512432</v>
      </c>
      <c r="N10" s="19">
        <f t="shared" si="0"/>
        <v>7520693749.391327</v>
      </c>
      <c r="O10" s="19">
        <f t="shared" si="0"/>
        <v>8905953359.862778</v>
      </c>
      <c r="P10" s="19">
        <f t="shared" si="0"/>
        <v>16426647109.254105</v>
      </c>
      <c r="Q10" s="19">
        <f t="shared" si="0"/>
        <v>8003983619.115597</v>
      </c>
      <c r="R10" s="19">
        <f t="shared" si="0"/>
        <v>8820722059.786097</v>
      </c>
      <c r="S10" s="19">
        <f t="shared" si="0"/>
        <v>16824705678.901695</v>
      </c>
      <c r="T10" s="19">
        <f t="shared" si="0"/>
        <v>9015237568.046104</v>
      </c>
      <c r="U10" s="19">
        <f t="shared" si="0"/>
        <v>8720933693.74784</v>
      </c>
      <c r="V10" s="19">
        <f t="shared" si="0"/>
        <v>17736171261.793945</v>
      </c>
      <c r="W10" s="19">
        <f t="shared" si="0"/>
        <v>9288876923.612753</v>
      </c>
      <c r="X10" s="19">
        <f t="shared" si="0"/>
        <v>8704529162.965122</v>
      </c>
      <c r="Y10" s="19">
        <f t="shared" si="0"/>
        <v>17993406086.577873</v>
      </c>
      <c r="Z10" s="19">
        <f t="shared" si="0"/>
        <v>9476833474.78526</v>
      </c>
      <c r="AA10" s="19">
        <f t="shared" si="0"/>
        <v>8583962641.010247</v>
      </c>
      <c r="AB10" s="19">
        <f t="shared" si="0"/>
        <v>18060796115.795506</v>
      </c>
      <c r="AC10" s="19">
        <f t="shared" si="0"/>
        <v>9245886817.880327</v>
      </c>
      <c r="AD10" s="19">
        <f t="shared" si="0"/>
        <v>8466319947.029144</v>
      </c>
      <c r="AE10" s="19">
        <f aca="true" t="shared" si="1" ref="AE10:BJ10">+AE11+AE17</f>
        <v>17712206764.909473</v>
      </c>
      <c r="AF10" s="19">
        <f t="shared" si="1"/>
        <v>9634797652.769968</v>
      </c>
      <c r="AG10" s="19">
        <f t="shared" si="1"/>
        <v>8397665283.158452</v>
      </c>
      <c r="AH10" s="19">
        <f t="shared" si="1"/>
        <v>18032462935.92842</v>
      </c>
      <c r="AI10" s="19">
        <f t="shared" si="1"/>
        <v>10326966530.42</v>
      </c>
      <c r="AJ10" s="19">
        <f t="shared" si="1"/>
        <v>8316484430.570302</v>
      </c>
      <c r="AK10" s="19">
        <f t="shared" si="1"/>
        <v>18643450960.990303</v>
      </c>
      <c r="AL10" s="19">
        <f t="shared" si="1"/>
        <v>11076426695.198002</v>
      </c>
      <c r="AM10" s="19">
        <f t="shared" si="1"/>
        <v>8211138387.968414</v>
      </c>
      <c r="AN10" s="19">
        <f t="shared" si="1"/>
        <v>19287565083.166412</v>
      </c>
      <c r="AO10" s="19">
        <f t="shared" si="1"/>
        <v>11795886244.812</v>
      </c>
      <c r="AP10" s="19">
        <f t="shared" si="1"/>
        <v>7998281026.26837</v>
      </c>
      <c r="AQ10" s="19">
        <f t="shared" si="1"/>
        <v>19794167271.080368</v>
      </c>
      <c r="AR10" s="19">
        <f t="shared" si="1"/>
        <v>12515677260.67</v>
      </c>
      <c r="AS10" s="19">
        <f t="shared" si="1"/>
        <v>7751305932.712544</v>
      </c>
      <c r="AT10" s="19">
        <f t="shared" si="1"/>
        <v>20266983193.38254</v>
      </c>
      <c r="AU10" s="19">
        <f t="shared" si="1"/>
        <v>13371096826.093998</v>
      </c>
      <c r="AV10" s="19">
        <f t="shared" si="1"/>
        <v>7465894509.800256</v>
      </c>
      <c r="AW10" s="19">
        <f t="shared" si="1"/>
        <v>20836991335.894257</v>
      </c>
      <c r="AX10" s="19">
        <f t="shared" si="1"/>
        <v>13985093524.447002</v>
      </c>
      <c r="AY10" s="19">
        <f t="shared" si="1"/>
        <v>7151950239.724999</v>
      </c>
      <c r="AZ10" s="19">
        <f t="shared" si="1"/>
        <v>21137043764.172</v>
      </c>
      <c r="BA10" s="19">
        <f t="shared" si="1"/>
        <v>14941536938.195002</v>
      </c>
      <c r="BB10" s="19">
        <f t="shared" si="1"/>
        <v>6791115484.419999</v>
      </c>
      <c r="BC10" s="19">
        <f t="shared" si="1"/>
        <v>21732652422.614998</v>
      </c>
      <c r="BD10" s="19">
        <f t="shared" si="1"/>
        <v>15972657568.109999</v>
      </c>
      <c r="BE10" s="19">
        <f t="shared" si="1"/>
        <v>6391414709.059999</v>
      </c>
      <c r="BF10" s="19">
        <f t="shared" si="1"/>
        <v>22364072277.17</v>
      </c>
      <c r="BG10" s="19">
        <f t="shared" si="1"/>
        <v>17186593724.77</v>
      </c>
      <c r="BH10" s="19">
        <f t="shared" si="1"/>
        <v>5935993684.549999</v>
      </c>
      <c r="BI10" s="19">
        <f t="shared" si="1"/>
        <v>23122587409.320004</v>
      </c>
      <c r="BJ10" s="19">
        <f t="shared" si="1"/>
        <v>18159849237.25</v>
      </c>
      <c r="BK10" s="19">
        <f aca="true" t="shared" si="2" ref="BK10:CM10">+BK11+BK17</f>
        <v>5425837875.49</v>
      </c>
      <c r="BL10" s="19">
        <f t="shared" si="2"/>
        <v>23585687112.74</v>
      </c>
      <c r="BM10" s="19">
        <f t="shared" si="2"/>
        <v>19150396361.85</v>
      </c>
      <c r="BN10" s="19">
        <f t="shared" si="2"/>
        <v>4844247791.82</v>
      </c>
      <c r="BO10" s="19">
        <f t="shared" si="2"/>
        <v>23994644153.67</v>
      </c>
      <c r="BP10" s="19">
        <f t="shared" si="2"/>
        <v>20622035716.59</v>
      </c>
      <c r="BQ10" s="19">
        <f t="shared" si="2"/>
        <v>4196703109.83</v>
      </c>
      <c r="BR10" s="19">
        <f t="shared" si="2"/>
        <v>24818738826.42</v>
      </c>
      <c r="BS10" s="19">
        <f t="shared" si="2"/>
        <v>22206498097.39</v>
      </c>
      <c r="BT10" s="19">
        <f t="shared" si="2"/>
        <v>3465634776.73</v>
      </c>
      <c r="BU10" s="19">
        <f t="shared" si="2"/>
        <v>25672132874.120003</v>
      </c>
      <c r="BV10" s="19">
        <f t="shared" si="2"/>
        <v>23907753525.550003</v>
      </c>
      <c r="BW10" s="19">
        <f t="shared" si="2"/>
        <v>2648006259.91</v>
      </c>
      <c r="BX10" s="19">
        <f t="shared" si="2"/>
        <v>26555759785.46</v>
      </c>
      <c r="BY10" s="19">
        <f t="shared" si="2"/>
        <v>23232902538.92</v>
      </c>
      <c r="BZ10" s="19">
        <f t="shared" si="2"/>
        <v>1721900451.7999997</v>
      </c>
      <c r="CA10" s="19">
        <f t="shared" si="2"/>
        <v>24954802990.72</v>
      </c>
      <c r="CB10" s="19">
        <f t="shared" si="2"/>
        <v>11957955891.710001</v>
      </c>
      <c r="CC10" s="19">
        <f t="shared" si="2"/>
        <v>1073656762.63</v>
      </c>
      <c r="CD10" s="19">
        <f t="shared" si="2"/>
        <v>13031612654.34</v>
      </c>
      <c r="CE10" s="19">
        <f t="shared" si="2"/>
        <v>12884565372.099998</v>
      </c>
      <c r="CF10" s="19">
        <f t="shared" si="2"/>
        <v>599010212.79</v>
      </c>
      <c r="CG10" s="19">
        <f t="shared" si="2"/>
        <v>13483575584.89</v>
      </c>
      <c r="CH10" s="19">
        <f t="shared" si="2"/>
        <v>7972115281.860001</v>
      </c>
      <c r="CI10" s="19">
        <f t="shared" si="2"/>
        <v>108648242.30000001</v>
      </c>
      <c r="CJ10" s="19">
        <f t="shared" si="2"/>
        <v>8080763524.160001</v>
      </c>
      <c r="CK10" s="19">
        <f t="shared" si="2"/>
        <v>358401858395.29205</v>
      </c>
      <c r="CL10" s="19">
        <f t="shared" si="2"/>
        <v>185527378549.34628</v>
      </c>
      <c r="CM10" s="19">
        <f t="shared" si="2"/>
        <v>543929236944.6383</v>
      </c>
      <c r="CN10" s="96"/>
      <c r="CO10" s="96"/>
      <c r="CP10" s="110"/>
      <c r="CQ10" s="5"/>
    </row>
    <row r="11" spans="1:95" ht="15">
      <c r="A11" s="20" t="s">
        <v>3</v>
      </c>
      <c r="B11" s="21">
        <f>SUM(B12:B16)</f>
        <v>1383620563.17</v>
      </c>
      <c r="C11" s="21">
        <f>SUM(C12:C16)</f>
        <v>5845054958.961872</v>
      </c>
      <c r="D11" s="21">
        <f>SUM(D12:D16)</f>
        <v>7228675522.131872</v>
      </c>
      <c r="E11" s="21">
        <f aca="true" t="shared" si="3" ref="E11:BP11">SUM(E12:E16)</f>
        <v>1716550858.5718095</v>
      </c>
      <c r="F11" s="21">
        <f t="shared" si="3"/>
        <v>6770432200.619999</v>
      </c>
      <c r="G11" s="21">
        <f t="shared" si="3"/>
        <v>8486983059.191809</v>
      </c>
      <c r="H11" s="21">
        <f t="shared" si="3"/>
        <v>2722179511.7212515</v>
      </c>
      <c r="I11" s="21">
        <f t="shared" si="3"/>
        <v>7032234054.929999</v>
      </c>
      <c r="J11" s="21">
        <f t="shared" si="3"/>
        <v>9754413566.65125</v>
      </c>
      <c r="K11" s="21">
        <f t="shared" si="3"/>
        <v>3796381318.7339554</v>
      </c>
      <c r="L11" s="21">
        <f t="shared" si="3"/>
        <v>7245587685.66</v>
      </c>
      <c r="M11" s="21">
        <f t="shared" si="3"/>
        <v>11041969004.393955</v>
      </c>
      <c r="N11" s="21">
        <f t="shared" si="3"/>
        <v>5153574661.700001</v>
      </c>
      <c r="O11" s="21">
        <f t="shared" si="3"/>
        <v>7408198460.98</v>
      </c>
      <c r="P11" s="21">
        <f t="shared" si="3"/>
        <v>12561773122.68</v>
      </c>
      <c r="Q11" s="21">
        <f t="shared" si="3"/>
        <v>5599352592.460001</v>
      </c>
      <c r="R11" s="21">
        <f t="shared" si="3"/>
        <v>7501892672.789999</v>
      </c>
      <c r="S11" s="21">
        <f t="shared" si="3"/>
        <v>13101245265.25</v>
      </c>
      <c r="T11" s="21">
        <f t="shared" si="3"/>
        <v>6073022815.620001</v>
      </c>
      <c r="U11" s="21">
        <f t="shared" si="3"/>
        <v>7590617939.469999</v>
      </c>
      <c r="V11" s="21">
        <f t="shared" si="3"/>
        <v>13663640755.09</v>
      </c>
      <c r="W11" s="21">
        <f t="shared" si="3"/>
        <v>6487783153.15</v>
      </c>
      <c r="X11" s="21">
        <f t="shared" si="3"/>
        <v>7786813301.99</v>
      </c>
      <c r="Y11" s="21">
        <f t="shared" si="3"/>
        <v>14274596455.14</v>
      </c>
      <c r="Z11" s="21">
        <f t="shared" si="3"/>
        <v>7029079908.69</v>
      </c>
      <c r="AA11" s="21">
        <f t="shared" si="3"/>
        <v>7870727053.880001</v>
      </c>
      <c r="AB11" s="21">
        <f t="shared" si="3"/>
        <v>14899806962.57</v>
      </c>
      <c r="AC11" s="21">
        <f t="shared" si="3"/>
        <v>7650901464.61</v>
      </c>
      <c r="AD11" s="21">
        <f t="shared" si="3"/>
        <v>7901290031.34</v>
      </c>
      <c r="AE11" s="21">
        <f t="shared" si="3"/>
        <v>15552191495.95</v>
      </c>
      <c r="AF11" s="21">
        <f t="shared" si="3"/>
        <v>8315146290.889999</v>
      </c>
      <c r="AG11" s="21">
        <f t="shared" si="3"/>
        <v>7917695168.869999</v>
      </c>
      <c r="AH11" s="21">
        <f t="shared" si="3"/>
        <v>16232841459.759998</v>
      </c>
      <c r="AI11" s="21">
        <f t="shared" si="3"/>
        <v>9036883358.45</v>
      </c>
      <c r="AJ11" s="21">
        <f t="shared" si="3"/>
        <v>7906398367.15</v>
      </c>
      <c r="AK11" s="21">
        <f t="shared" si="3"/>
        <v>16943281725.6</v>
      </c>
      <c r="AL11" s="21">
        <f t="shared" si="3"/>
        <v>9803110333.04</v>
      </c>
      <c r="AM11" s="21">
        <f t="shared" si="3"/>
        <v>7868858222.4</v>
      </c>
      <c r="AN11" s="21">
        <f t="shared" si="3"/>
        <v>17671968555.44</v>
      </c>
      <c r="AO11" s="21">
        <f t="shared" si="3"/>
        <v>10584990766.75</v>
      </c>
      <c r="AP11" s="21">
        <f t="shared" si="3"/>
        <v>7722313023.11</v>
      </c>
      <c r="AQ11" s="21">
        <f t="shared" si="3"/>
        <v>18307303789.86</v>
      </c>
      <c r="AR11" s="21">
        <f t="shared" si="3"/>
        <v>11399730818.16</v>
      </c>
      <c r="AS11" s="21">
        <f t="shared" si="3"/>
        <v>7537056983.51</v>
      </c>
      <c r="AT11" s="21">
        <f t="shared" si="3"/>
        <v>18936787801.67</v>
      </c>
      <c r="AU11" s="21">
        <f t="shared" si="3"/>
        <v>12276978146.759998</v>
      </c>
      <c r="AV11" s="21">
        <f t="shared" si="3"/>
        <v>7310939535.609999</v>
      </c>
      <c r="AW11" s="21">
        <f t="shared" si="3"/>
        <v>19587917682.37</v>
      </c>
      <c r="AX11" s="21">
        <f t="shared" si="3"/>
        <v>13211981207.320002</v>
      </c>
      <c r="AY11" s="21">
        <f t="shared" si="3"/>
        <v>7050130624.44</v>
      </c>
      <c r="AZ11" s="21">
        <f t="shared" si="3"/>
        <v>20262111831.760002</v>
      </c>
      <c r="BA11" s="21">
        <f t="shared" si="3"/>
        <v>14239192156.66</v>
      </c>
      <c r="BB11" s="21">
        <f t="shared" si="3"/>
        <v>6719989071.969999</v>
      </c>
      <c r="BC11" s="21">
        <f t="shared" si="3"/>
        <v>20959181228.629997</v>
      </c>
      <c r="BD11" s="21">
        <f t="shared" si="3"/>
        <v>15334239921.9</v>
      </c>
      <c r="BE11" s="21">
        <f t="shared" si="3"/>
        <v>6345615245.799999</v>
      </c>
      <c r="BF11" s="21">
        <f t="shared" si="3"/>
        <v>21679855167.699997</v>
      </c>
      <c r="BG11" s="21">
        <f t="shared" si="3"/>
        <v>16513267385.430002</v>
      </c>
      <c r="BH11" s="21">
        <f t="shared" si="3"/>
        <v>5912043548.9</v>
      </c>
      <c r="BI11" s="21">
        <f t="shared" si="3"/>
        <v>22425310934.33</v>
      </c>
      <c r="BJ11" s="21">
        <f t="shared" si="3"/>
        <v>17774928431.99</v>
      </c>
      <c r="BK11" s="21">
        <f t="shared" si="3"/>
        <v>5422245449.95</v>
      </c>
      <c r="BL11" s="21">
        <f t="shared" si="3"/>
        <v>23197173881.940002</v>
      </c>
      <c r="BM11" s="21">
        <f t="shared" si="3"/>
        <v>19150396361.85</v>
      </c>
      <c r="BN11" s="21">
        <f t="shared" si="3"/>
        <v>4844247791.82</v>
      </c>
      <c r="BO11" s="21">
        <f t="shared" si="3"/>
        <v>23994644153.67</v>
      </c>
      <c r="BP11" s="21">
        <f t="shared" si="3"/>
        <v>20622035716.59</v>
      </c>
      <c r="BQ11" s="21">
        <f aca="true" t="shared" si="4" ref="BQ11:CA11">SUM(BQ12:BQ16)</f>
        <v>4196703109.83</v>
      </c>
      <c r="BR11" s="21">
        <f t="shared" si="4"/>
        <v>24818738826.42</v>
      </c>
      <c r="BS11" s="21">
        <f t="shared" si="4"/>
        <v>22206498097.39</v>
      </c>
      <c r="BT11" s="21">
        <f t="shared" si="4"/>
        <v>3465634776.73</v>
      </c>
      <c r="BU11" s="21">
        <f t="shared" si="4"/>
        <v>25672132874.120003</v>
      </c>
      <c r="BV11" s="21">
        <f t="shared" si="4"/>
        <v>23907753525.550003</v>
      </c>
      <c r="BW11" s="21">
        <f t="shared" si="4"/>
        <v>2648006259.91</v>
      </c>
      <c r="BX11" s="21">
        <f t="shared" si="4"/>
        <v>26555759785.46</v>
      </c>
      <c r="BY11" s="21">
        <f t="shared" si="4"/>
        <v>23232902538.92</v>
      </c>
      <c r="BZ11" s="21">
        <f t="shared" si="4"/>
        <v>1721900451.7999997</v>
      </c>
      <c r="CA11" s="21">
        <f t="shared" si="4"/>
        <v>24954802990.72</v>
      </c>
      <c r="CB11" s="21">
        <f aca="true" t="shared" si="5" ref="CB11:CM11">SUM(CB12:CB16)</f>
        <v>11957955891.710001</v>
      </c>
      <c r="CC11" s="21">
        <f t="shared" si="5"/>
        <v>1073656762.63</v>
      </c>
      <c r="CD11" s="21">
        <f t="shared" si="5"/>
        <v>13031612654.34</v>
      </c>
      <c r="CE11" s="21">
        <f t="shared" si="5"/>
        <v>12884565372.099998</v>
      </c>
      <c r="CF11" s="21">
        <f t="shared" si="5"/>
        <v>599010212.79</v>
      </c>
      <c r="CG11" s="21">
        <f t="shared" si="5"/>
        <v>13483575584.89</v>
      </c>
      <c r="CH11" s="21">
        <f t="shared" si="5"/>
        <v>7972115281.860001</v>
      </c>
      <c r="CI11" s="21">
        <f t="shared" si="5"/>
        <v>108648242.30000001</v>
      </c>
      <c r="CJ11" s="21">
        <f t="shared" si="5"/>
        <v>8080763524.160001</v>
      </c>
      <c r="CK11" s="21">
        <f t="shared" si="5"/>
        <v>328037118451.7471</v>
      </c>
      <c r="CL11" s="21">
        <f t="shared" si="5"/>
        <v>169323941210.14185</v>
      </c>
      <c r="CM11" s="21">
        <f t="shared" si="5"/>
        <v>497361059661.8889</v>
      </c>
      <c r="CO11" s="4"/>
      <c r="CP11" s="73"/>
      <c r="CQ11" s="73"/>
    </row>
    <row r="12" spans="1:94" ht="15">
      <c r="A12" s="8" t="s">
        <v>269</v>
      </c>
      <c r="B12" s="28">
        <f>+'[16]intra'!$D$73</f>
        <v>0</v>
      </c>
      <c r="C12" s="28">
        <f>+'[16]intra'!$E$73+'[16]intra'!$F$73</f>
        <v>0</v>
      </c>
      <c r="D12" s="28">
        <f>B12+C12</f>
        <v>0</v>
      </c>
      <c r="E12" s="28">
        <f>+'[16]intra'!$D$86</f>
        <v>0</v>
      </c>
      <c r="F12" s="28">
        <f>+'[16]intra'!$E$86+'[16]intra'!$F$86</f>
        <v>0</v>
      </c>
      <c r="G12" s="28">
        <f>E12+F12</f>
        <v>0</v>
      </c>
      <c r="H12" s="28">
        <f>+'[16]intra'!$D$99</f>
        <v>0</v>
      </c>
      <c r="I12" s="28">
        <f>+'[16]intra'!$E$99+'[16]intra'!$F$99</f>
        <v>0</v>
      </c>
      <c r="J12" s="28">
        <f>H12+I12</f>
        <v>0</v>
      </c>
      <c r="K12" s="28">
        <f>+'[16]intra'!$D$112</f>
        <v>0</v>
      </c>
      <c r="L12" s="28">
        <f>+'[16]intra'!$E$112+'[16]intra'!$F$112</f>
        <v>0</v>
      </c>
      <c r="M12" s="28">
        <f>K12+L12</f>
        <v>0</v>
      </c>
      <c r="N12" s="28">
        <f>+'[16]intra'!$D$125</f>
        <v>0</v>
      </c>
      <c r="O12" s="28">
        <f>+'[16]intra'!$E$125+'[16]intra'!$F$125</f>
        <v>0</v>
      </c>
      <c r="P12" s="28">
        <f>N12+O12</f>
        <v>0</v>
      </c>
      <c r="Q12" s="28">
        <f>+'[16]intra'!$D$138</f>
        <v>0</v>
      </c>
      <c r="R12" s="28">
        <f>+'[16]intra'!$E$138+'[16]intra'!$F$138</f>
        <v>0</v>
      </c>
      <c r="S12" s="28">
        <f>Q12+R12</f>
        <v>0</v>
      </c>
      <c r="T12" s="28">
        <f>+'[16]intra'!$D$151</f>
        <v>0</v>
      </c>
      <c r="U12" s="28">
        <f>+'[16]intra'!$E$151+'[16]intra'!$F$151</f>
        <v>0</v>
      </c>
      <c r="V12" s="28">
        <f>T12+U12</f>
        <v>0</v>
      </c>
      <c r="W12" s="28">
        <f>+'[16]intra'!$D$164</f>
        <v>0</v>
      </c>
      <c r="X12" s="28">
        <f>+'[16]intra'!$E$164+'[16]intra'!$F$164</f>
        <v>0</v>
      </c>
      <c r="Y12" s="28">
        <f>W12+X12</f>
        <v>0</v>
      </c>
      <c r="Z12" s="28">
        <f>+'[16]intra'!$D$177</f>
        <v>0</v>
      </c>
      <c r="AA12" s="28">
        <f>+'[16]intra'!$E$177+'[16]intra'!$F$177</f>
        <v>0</v>
      </c>
      <c r="AB12" s="28">
        <f>Z12+AA12</f>
        <v>0</v>
      </c>
      <c r="AC12" s="28">
        <f>+'[16]intra'!$D$190</f>
        <v>0</v>
      </c>
      <c r="AD12" s="28">
        <f>+'[16]intra'!$E$190+'[16]intra'!$F$190</f>
        <v>0</v>
      </c>
      <c r="AE12" s="28">
        <f>AC12+AD12</f>
        <v>0</v>
      </c>
      <c r="AF12" s="28">
        <f>+'[16]intra'!$D$203</f>
        <v>0</v>
      </c>
      <c r="AG12" s="28">
        <f>+'[16]intra'!$E$203+'[16]intra'!$F$203</f>
        <v>0</v>
      </c>
      <c r="AH12" s="28">
        <f>AF12+AG12</f>
        <v>0</v>
      </c>
      <c r="AI12" s="28">
        <f>+'[16]intra'!$D$216</f>
        <v>0</v>
      </c>
      <c r="AJ12" s="28">
        <f>+'[16]intra'!$E$216+'[16]intra'!$F$216</f>
        <v>0</v>
      </c>
      <c r="AK12" s="28">
        <f>AI12+AJ12</f>
        <v>0</v>
      </c>
      <c r="AL12" s="28">
        <f>+'[16]intra'!$D$229</f>
        <v>0</v>
      </c>
      <c r="AM12" s="28">
        <f>+'[16]intra'!$E$229+'[16]intra'!$F$229</f>
        <v>0</v>
      </c>
      <c r="AN12" s="28">
        <f>AL12+AM12</f>
        <v>0</v>
      </c>
      <c r="AO12" s="28">
        <f>+'[16]intra'!$D$242</f>
        <v>0</v>
      </c>
      <c r="AP12" s="28">
        <f>+'[16]intra'!$E$242+'[16]intra'!$F$242</f>
        <v>0</v>
      </c>
      <c r="AQ12" s="28">
        <f>AO12+AP12</f>
        <v>0</v>
      </c>
      <c r="AR12" s="28">
        <f>+'[16]intra'!$D$255</f>
        <v>0</v>
      </c>
      <c r="AS12" s="28">
        <f>+'[16]intra'!$E$255+'[16]intra'!$F$255</f>
        <v>0</v>
      </c>
      <c r="AT12" s="28">
        <f>AR12+AS12</f>
        <v>0</v>
      </c>
      <c r="AU12" s="28">
        <f>+'[16]intra'!$D$268</f>
        <v>0</v>
      </c>
      <c r="AV12" s="28">
        <f>+'[16]intra'!$E$268+'[16]intra'!$F$268</f>
        <v>0</v>
      </c>
      <c r="AW12" s="28">
        <f>AU12+AV12</f>
        <v>0</v>
      </c>
      <c r="AX12" s="28">
        <f>+'[16]intra'!$D$281</f>
        <v>0</v>
      </c>
      <c r="AY12" s="28">
        <f>+'[16]intra'!$E$281+'[16]intra'!$F$281</f>
        <v>0</v>
      </c>
      <c r="AZ12" s="28">
        <f>AX12+AY12</f>
        <v>0</v>
      </c>
      <c r="BA12" s="28">
        <f>+'[16]intra'!$D$294</f>
        <v>0</v>
      </c>
      <c r="BB12" s="28">
        <f>+'[16]intra'!$E$294+'[16]intra'!$F$294</f>
        <v>0</v>
      </c>
      <c r="BC12" s="28">
        <f>BA12+BB12</f>
        <v>0</v>
      </c>
      <c r="BD12" s="28">
        <f>+'[16]intra'!$D$307</f>
        <v>0</v>
      </c>
      <c r="BE12" s="28">
        <f>+'[16]intra'!$E$307+'[16]intra'!$F$307</f>
        <v>0</v>
      </c>
      <c r="BF12" s="28">
        <f>BD12+BE12</f>
        <v>0</v>
      </c>
      <c r="BG12" s="28">
        <f>+'[16]intra'!$D$320</f>
        <v>0</v>
      </c>
      <c r="BH12" s="28">
        <f>+'[16]intra'!$E$320+'[16]intra'!$F$320</f>
        <v>0</v>
      </c>
      <c r="BI12" s="28">
        <f>BG12+BH12</f>
        <v>0</v>
      </c>
      <c r="BJ12" s="28">
        <f>+'[16]intra'!$D$333</f>
        <v>0</v>
      </c>
      <c r="BK12" s="28">
        <f>+'[16]intra'!$E$333+'[16]intra'!$F$333</f>
        <v>0</v>
      </c>
      <c r="BL12" s="28">
        <f>BJ12+BK12</f>
        <v>0</v>
      </c>
      <c r="BM12" s="28">
        <f>+'[16]intra'!$D$346</f>
        <v>0</v>
      </c>
      <c r="BN12" s="28">
        <f>+'[16]intra'!$E$346+'[16]intra'!$F$346</f>
        <v>0</v>
      </c>
      <c r="BO12" s="28">
        <f>BM12+BN12</f>
        <v>0</v>
      </c>
      <c r="BP12" s="28">
        <f>+'[16]intra'!$D$359</f>
        <v>0</v>
      </c>
      <c r="BQ12" s="28">
        <f>+'[16]intra'!$E$359+'[16]intra'!$F$359</f>
        <v>0</v>
      </c>
      <c r="BR12" s="28">
        <f>BP12+BQ12</f>
        <v>0</v>
      </c>
      <c r="BS12" s="28">
        <f>+'[16]intra'!$D$372</f>
        <v>0</v>
      </c>
      <c r="BT12" s="28">
        <f>+'[16]intra'!$E$372+'[16]intra'!$F$372</f>
        <v>0</v>
      </c>
      <c r="BU12" s="28">
        <f>BS12+BT12</f>
        <v>0</v>
      </c>
      <c r="BV12" s="28">
        <f>+'[16]intra'!$D$385</f>
        <v>0</v>
      </c>
      <c r="BW12" s="28">
        <f>+'[16]intra'!$E$385+'[16]intra'!$F$385</f>
        <v>0</v>
      </c>
      <c r="BX12" s="28">
        <f>BV12+BW12</f>
        <v>0</v>
      </c>
      <c r="BY12" s="28">
        <f>+'[16]intra'!$D$398</f>
        <v>0</v>
      </c>
      <c r="BZ12" s="28">
        <f>+'[16]intra'!$E$398+'[16]intra'!$F$398</f>
        <v>0</v>
      </c>
      <c r="CA12" s="28">
        <f>BY12+BZ12</f>
        <v>0</v>
      </c>
      <c r="CB12" s="28">
        <f>+'[16]intra'!$D$411</f>
        <v>0</v>
      </c>
      <c r="CC12" s="28">
        <f>+'[16]intra'!$E$411+'[16]intra'!$F$411</f>
        <v>0</v>
      </c>
      <c r="CD12" s="28">
        <f>CB12+CC12</f>
        <v>0</v>
      </c>
      <c r="CE12" s="28">
        <f>+'[16]intra'!$D$424</f>
        <v>0</v>
      </c>
      <c r="CF12" s="28">
        <f>+'[16]intra'!$E$424+'[16]intra'!$F$424</f>
        <v>0</v>
      </c>
      <c r="CG12" s="28">
        <f>CE12+CF12</f>
        <v>0</v>
      </c>
      <c r="CH12" s="28">
        <f>+'[16]intra'!$D$437</f>
        <v>0</v>
      </c>
      <c r="CI12" s="28">
        <f>+'[16]intra'!$E$437+'[16]intra'!$F$437</f>
        <v>0</v>
      </c>
      <c r="CJ12" s="28">
        <f>CH12+CI12</f>
        <v>0</v>
      </c>
      <c r="CK12" s="28">
        <f aca="true" t="shared" si="6" ref="CK12:CL16">+B12+E12+H12+K12+N12+Q12+T12+W12+Z12+AC12+AF12+AI12+AL12+AO12+AR12+AU12+AX12+BA12+BD12+BG12+BJ12+BM12+BP12+BS12+BV12+BY12+CB12+CE12+CH12</f>
        <v>0</v>
      </c>
      <c r="CL12" s="28">
        <f t="shared" si="6"/>
        <v>0</v>
      </c>
      <c r="CM12" s="28">
        <f>CK12+CL12</f>
        <v>0</v>
      </c>
      <c r="CN12" s="39" t="s">
        <v>79</v>
      </c>
      <c r="CO12" s="4"/>
      <c r="CP12" s="110"/>
    </row>
    <row r="13" spans="1:94" ht="15">
      <c r="A13" s="8" t="s">
        <v>270</v>
      </c>
      <c r="B13" s="28">
        <f>+'[16]intra'!$G$73</f>
        <v>0</v>
      </c>
      <c r="C13" s="28">
        <f>+'[16]intra'!$H$73+'[16]intra'!$I$73</f>
        <v>0</v>
      </c>
      <c r="D13" s="28">
        <f>B13+C13</f>
        <v>0</v>
      </c>
      <c r="E13" s="28">
        <f>+'[16]intra'!$G$86</f>
        <v>0</v>
      </c>
      <c r="F13" s="28">
        <f>+'[16]intra'!$H$86+'[16]intra'!$I$86</f>
        <v>0</v>
      </c>
      <c r="G13" s="28">
        <f>E13+F13</f>
        <v>0</v>
      </c>
      <c r="H13" s="28">
        <f>+'[16]intra'!$G$99</f>
        <v>0</v>
      </c>
      <c r="I13" s="28">
        <f>+'[16]intra'!$H$99+'[16]intra'!$I$99</f>
        <v>0</v>
      </c>
      <c r="J13" s="28">
        <f>H13+I13</f>
        <v>0</v>
      </c>
      <c r="K13" s="28">
        <f>+'[16]intra'!$G$112</f>
        <v>0</v>
      </c>
      <c r="L13" s="28">
        <f>+'[16]intra'!$H$112+'[16]intra'!$I$112</f>
        <v>0</v>
      </c>
      <c r="M13" s="28">
        <f>K13+L13</f>
        <v>0</v>
      </c>
      <c r="N13" s="28">
        <f>+'[16]intra'!$G$125</f>
        <v>0</v>
      </c>
      <c r="O13" s="28">
        <f>+'[16]intra'!$H$125+'[16]intra'!$I$125</f>
        <v>0</v>
      </c>
      <c r="P13" s="28">
        <f>N13+O13</f>
        <v>0</v>
      </c>
      <c r="Q13" s="28">
        <f>+'[16]intra'!$G$138</f>
        <v>0</v>
      </c>
      <c r="R13" s="28">
        <f>+'[16]intra'!$H$138+'[16]intra'!$I$138</f>
        <v>0</v>
      </c>
      <c r="S13" s="28">
        <f>Q13+R13</f>
        <v>0</v>
      </c>
      <c r="T13" s="28">
        <f>+'[16]intra'!$G$151</f>
        <v>0</v>
      </c>
      <c r="U13" s="28">
        <f>+'[16]intra'!$H$151+'[16]intra'!$I$151</f>
        <v>0</v>
      </c>
      <c r="V13" s="28">
        <f>T13+U13</f>
        <v>0</v>
      </c>
      <c r="W13" s="28">
        <f>+'[16]intra'!$G$164</f>
        <v>0</v>
      </c>
      <c r="X13" s="28">
        <f>+'[16]intra'!$H$164+'[16]intra'!$I$164</f>
        <v>0</v>
      </c>
      <c r="Y13" s="28">
        <f>W13+X13</f>
        <v>0</v>
      </c>
      <c r="Z13" s="28">
        <f>+'[16]intra'!$G$177</f>
        <v>0</v>
      </c>
      <c r="AA13" s="28">
        <f>+'[16]intra'!$H$177+'[16]intra'!$I$177</f>
        <v>0</v>
      </c>
      <c r="AB13" s="28">
        <f>Z13+AA13</f>
        <v>0</v>
      </c>
      <c r="AC13" s="28">
        <f>+'[16]intra'!$G$190</f>
        <v>0</v>
      </c>
      <c r="AD13" s="28">
        <f>+'[16]intra'!$H$190+'[16]intra'!$I$190</f>
        <v>0</v>
      </c>
      <c r="AE13" s="28">
        <f>AC13+AD13</f>
        <v>0</v>
      </c>
      <c r="AF13" s="28">
        <f>+'[16]intra'!$G$203</f>
        <v>0</v>
      </c>
      <c r="AG13" s="28">
        <f>+'[16]intra'!$H$203+'[16]intra'!$I$203</f>
        <v>0</v>
      </c>
      <c r="AH13" s="28">
        <f>AF13+AG13</f>
        <v>0</v>
      </c>
      <c r="AI13" s="28">
        <f>+'[16]intra'!$G$216</f>
        <v>0</v>
      </c>
      <c r="AJ13" s="28">
        <f>+'[16]intra'!$H$216+'[16]intra'!$I$216</f>
        <v>0</v>
      </c>
      <c r="AK13" s="28">
        <f>AI13+AJ13</f>
        <v>0</v>
      </c>
      <c r="AL13" s="28">
        <f>+'[16]intra'!$G$229</f>
        <v>0</v>
      </c>
      <c r="AM13" s="28">
        <f>+'[16]intra'!$H$229+'[16]intra'!$I$229</f>
        <v>0</v>
      </c>
      <c r="AN13" s="28">
        <f>AL13+AM13</f>
        <v>0</v>
      </c>
      <c r="AO13" s="28">
        <f>+'[16]intra'!$G$242</f>
        <v>0</v>
      </c>
      <c r="AP13" s="28">
        <f>+'[16]intra'!$H$242+'[16]intra'!$I$242</f>
        <v>0</v>
      </c>
      <c r="AQ13" s="28">
        <f>AO13+AP13</f>
        <v>0</v>
      </c>
      <c r="AR13" s="28">
        <f>+'[16]intra'!$G$255</f>
        <v>0</v>
      </c>
      <c r="AS13" s="28">
        <f>+'[16]intra'!$H$255+'[16]intra'!$I$255</f>
        <v>0</v>
      </c>
      <c r="AT13" s="28">
        <f>AR13+AS13</f>
        <v>0</v>
      </c>
      <c r="AU13" s="28">
        <f>+'[16]intra'!$G$268</f>
        <v>0</v>
      </c>
      <c r="AV13" s="28">
        <f>+'[16]intra'!$H$268+'[16]intra'!$I$268</f>
        <v>0</v>
      </c>
      <c r="AW13" s="28">
        <f>AU13+AV13</f>
        <v>0</v>
      </c>
      <c r="AX13" s="28">
        <f>+'[16]intra'!$G$281</f>
        <v>0</v>
      </c>
      <c r="AY13" s="28">
        <f>+'[16]intra'!$H$281+'[16]intra'!$I$281</f>
        <v>0</v>
      </c>
      <c r="AZ13" s="28">
        <f>AX13+AY13</f>
        <v>0</v>
      </c>
      <c r="BA13" s="28">
        <f>+'[16]intra'!$G$294</f>
        <v>0</v>
      </c>
      <c r="BB13" s="28">
        <f>+'[16]intra'!$H$294+'[16]intra'!$I$294</f>
        <v>0</v>
      </c>
      <c r="BC13" s="28">
        <f>BA13+BB13</f>
        <v>0</v>
      </c>
      <c r="BD13" s="28">
        <f>+'[16]intra'!$G$307</f>
        <v>0</v>
      </c>
      <c r="BE13" s="28">
        <f>+'[16]intra'!$H$307+'[16]intra'!$I$307</f>
        <v>0</v>
      </c>
      <c r="BF13" s="28">
        <f>BD13+BE13</f>
        <v>0</v>
      </c>
      <c r="BG13" s="28">
        <f>+'[16]intra'!$G$320</f>
        <v>0</v>
      </c>
      <c r="BH13" s="28">
        <f>+'[16]intra'!$H$320+'[16]intra'!$I$320</f>
        <v>0</v>
      </c>
      <c r="BI13" s="28">
        <f>BG13+BH13</f>
        <v>0</v>
      </c>
      <c r="BJ13" s="28">
        <f>+'[16]intra'!$G$333</f>
        <v>0</v>
      </c>
      <c r="BK13" s="28">
        <f>+'[16]intra'!$H$333+'[16]intra'!$I$333</f>
        <v>0</v>
      </c>
      <c r="BL13" s="28">
        <f>BJ13+BK13</f>
        <v>0</v>
      </c>
      <c r="BM13" s="28">
        <f>+'[16]intra'!$G$346</f>
        <v>0</v>
      </c>
      <c r="BN13" s="28">
        <f>+'[16]intra'!$H$346+'[16]intra'!$I$346</f>
        <v>0</v>
      </c>
      <c r="BO13" s="28">
        <f>BM13+BN13</f>
        <v>0</v>
      </c>
      <c r="BP13" s="28">
        <f>+'[16]intra'!$G$359</f>
        <v>0</v>
      </c>
      <c r="BQ13" s="28">
        <f>+'[16]intra'!$H$359+'[16]intra'!$I$359</f>
        <v>0</v>
      </c>
      <c r="BR13" s="28">
        <f>BP13+BQ13</f>
        <v>0</v>
      </c>
      <c r="BS13" s="28">
        <f>+'[16]intra'!$G$372</f>
        <v>0</v>
      </c>
      <c r="BT13" s="28">
        <f>+'[16]intra'!$H$372+'[16]intra'!$I$372</f>
        <v>0</v>
      </c>
      <c r="BU13" s="28">
        <f>BS13+BT13</f>
        <v>0</v>
      </c>
      <c r="BV13" s="28">
        <f>+'[16]intra'!$G$385</f>
        <v>0</v>
      </c>
      <c r="BW13" s="28">
        <f>+'[16]intra'!$H$385+'[16]intra'!$I$385</f>
        <v>0</v>
      </c>
      <c r="BX13" s="28">
        <f>BV13+BW13</f>
        <v>0</v>
      </c>
      <c r="BY13" s="28">
        <f>+'[16]intra'!$G$398</f>
        <v>0</v>
      </c>
      <c r="BZ13" s="28">
        <f>+'[16]intra'!$H$398+'[16]intra'!$I$398</f>
        <v>0</v>
      </c>
      <c r="CA13" s="28">
        <f>BY13+BZ13</f>
        <v>0</v>
      </c>
      <c r="CB13" s="28">
        <f>+'[16]intra'!$G$411</f>
        <v>0</v>
      </c>
      <c r="CC13" s="28">
        <f>+'[16]intra'!$H$411+'[16]intra'!$I$411</f>
        <v>0</v>
      </c>
      <c r="CD13" s="28">
        <f>CB13+CC13</f>
        <v>0</v>
      </c>
      <c r="CE13" s="28">
        <f>+'[16]intra'!$G$424</f>
        <v>0</v>
      </c>
      <c r="CF13" s="28">
        <f>+'[16]intra'!$H$424+'[16]intra'!$I$424</f>
        <v>0</v>
      </c>
      <c r="CG13" s="28">
        <f>CE13+CF13</f>
        <v>0</v>
      </c>
      <c r="CH13" s="28">
        <f>+'[16]intra'!$G$437</f>
        <v>0</v>
      </c>
      <c r="CI13" s="28">
        <f>+'[16]intra'!$H$437+'[16]intra'!$I$437</f>
        <v>0</v>
      </c>
      <c r="CJ13" s="28">
        <f>CH13+CI13</f>
        <v>0</v>
      </c>
      <c r="CK13" s="28">
        <f t="shared" si="6"/>
        <v>0</v>
      </c>
      <c r="CL13" s="28">
        <f t="shared" si="6"/>
        <v>0</v>
      </c>
      <c r="CM13" s="28">
        <f>CK13+CL13</f>
        <v>0</v>
      </c>
      <c r="CN13" s="39" t="s">
        <v>55</v>
      </c>
      <c r="CO13" s="4"/>
      <c r="CP13" s="90"/>
    </row>
    <row r="14" spans="1:94" ht="15">
      <c r="A14" s="8" t="s">
        <v>271</v>
      </c>
      <c r="B14" s="28">
        <f>+'[16]intra'!$J$73</f>
        <v>0</v>
      </c>
      <c r="C14" s="28">
        <f>+'[16]intra'!$K$73+'[16]intra'!$L$73</f>
        <v>3014051564.0918717</v>
      </c>
      <c r="D14" s="28">
        <f>B14+C14</f>
        <v>3014051564.0918717</v>
      </c>
      <c r="E14" s="28">
        <f>+'[16]intra'!$J$86</f>
        <v>67288064.77180976</v>
      </c>
      <c r="F14" s="28">
        <f>+'[16]intra'!$K$86+'[16]intra'!$L$86</f>
        <v>3746131221.2999997</v>
      </c>
      <c r="G14" s="28">
        <f>E14+F14</f>
        <v>3813419286.0718093</v>
      </c>
      <c r="H14" s="28">
        <f>+'[16]intra'!$J$99</f>
        <v>864277968.4312515</v>
      </c>
      <c r="I14" s="28">
        <f>+'[16]intra'!$K$99+'[16]intra'!$L$99</f>
        <v>3810990387.3799996</v>
      </c>
      <c r="J14" s="28">
        <f>H14+I14</f>
        <v>4675268355.811251</v>
      </c>
      <c r="K14" s="28">
        <f>+'[16]intra'!$J$112</f>
        <v>1734608101.4339552</v>
      </c>
      <c r="L14" s="28">
        <f>+'[16]intra'!$K$112+'[16]intra'!$L$112</f>
        <v>3871815564.77</v>
      </c>
      <c r="M14" s="28">
        <f>K14+L14</f>
        <v>5606423666.203955</v>
      </c>
      <c r="N14" s="28">
        <f>+'[16]intra'!$J$125</f>
        <v>2911740799.46</v>
      </c>
      <c r="O14" s="28">
        <f>+'[16]intra'!$K$125+'[16]intra'!$L$125</f>
        <v>3926184149.19</v>
      </c>
      <c r="P14" s="28">
        <f>N14+O14</f>
        <v>6837924948.65</v>
      </c>
      <c r="Q14" s="28">
        <f>+'[16]intra'!$J$138</f>
        <v>3162254088.720001</v>
      </c>
      <c r="R14" s="28">
        <f>+'[16]intra'!$K$138+'[16]intra'!$L$138</f>
        <v>3973265443.72</v>
      </c>
      <c r="S14" s="28">
        <f>Q14+R14</f>
        <v>7135519532.440001</v>
      </c>
      <c r="T14" s="28">
        <f>+'[16]intra'!$J$151</f>
        <v>3434256772.3300004</v>
      </c>
      <c r="U14" s="28">
        <f>+'[16]intra'!$K$151+'[16]intra'!$L$151</f>
        <v>4011669118.3399997</v>
      </c>
      <c r="V14" s="28">
        <f>T14+U14</f>
        <v>7445925890.67</v>
      </c>
      <c r="W14" s="28">
        <f>+'[16]intra'!$J$164</f>
        <v>3729655887.07</v>
      </c>
      <c r="X14" s="28">
        <f>+'[16]intra'!$K$164+'[16]intra'!$L$164</f>
        <v>4040179528.23</v>
      </c>
      <c r="Y14" s="28">
        <f>W14+X14</f>
        <v>7769835415.3</v>
      </c>
      <c r="Z14" s="28">
        <f>+'[16]intra'!$J$177</f>
        <v>4050388806.069999</v>
      </c>
      <c r="AA14" s="28">
        <f>+'[16]intra'!$K$177+'[16]intra'!$L$177</f>
        <v>4057294382.430001</v>
      </c>
      <c r="AB14" s="28">
        <f>Z14+AA14</f>
        <v>8107683188.5</v>
      </c>
      <c r="AC14" s="28">
        <f>+'[16]intra'!$J$190</f>
        <v>4398866329.38</v>
      </c>
      <c r="AD14" s="28">
        <f>+'[16]intra'!$K$190+'[16]intra'!$L$190</f>
        <v>4061672823.5599995</v>
      </c>
      <c r="AE14" s="28">
        <f>AC14+AD14</f>
        <v>8460539152.94</v>
      </c>
      <c r="AF14" s="28">
        <f>+'[16]intra'!$J$203</f>
        <v>4777236761.629999</v>
      </c>
      <c r="AG14" s="28">
        <f>+'[16]intra'!$K$203+'[16]intra'!$L$203</f>
        <v>4051349193.7099996</v>
      </c>
      <c r="AH14" s="28">
        <f>AF14+AG14</f>
        <v>8828585955.339998</v>
      </c>
      <c r="AI14" s="28">
        <f>+'[16]intra'!$J$216</f>
        <v>5188152893.93</v>
      </c>
      <c r="AJ14" s="28">
        <f>+'[16]intra'!$K$216+'[16]intra'!$L$216</f>
        <v>4024490480.48</v>
      </c>
      <c r="AK14" s="28">
        <f>AI14+AJ14</f>
        <v>9212643374.41</v>
      </c>
      <c r="AL14" s="28">
        <f>+'[16]intra'!$J$229</f>
        <v>5629387934.820001</v>
      </c>
      <c r="AM14" s="28">
        <f>+'[16]intra'!$K$229+'[16]intra'!$L$229</f>
        <v>3975561544.9799995</v>
      </c>
      <c r="AN14" s="28">
        <f>AL14+AM14</f>
        <v>9604949479.8</v>
      </c>
      <c r="AO14" s="28">
        <f>+'[16]intra'!$J$242</f>
        <v>6066499242.0199995</v>
      </c>
      <c r="AP14" s="28">
        <f>+'[16]intra'!$K$242+'[16]intra'!$L$242</f>
        <v>3879234026.5299997</v>
      </c>
      <c r="AQ14" s="28">
        <f>AO14+AP14</f>
        <v>9945733268.55</v>
      </c>
      <c r="AR14" s="28">
        <f>+'[16]intra'!$J$255</f>
        <v>6529094306.19</v>
      </c>
      <c r="AS14" s="28">
        <f>+'[16]intra'!$K$255+'[16]intra'!$L$255</f>
        <v>3756010256.6700006</v>
      </c>
      <c r="AT14" s="28">
        <f>AR14+AS14</f>
        <v>10285104562.86</v>
      </c>
      <c r="AU14" s="28">
        <f>+'[16]intra'!$J$268</f>
        <v>7026964112.019998</v>
      </c>
      <c r="AV14" s="28">
        <f>+'[16]intra'!$K$268+'[16]intra'!$L$268</f>
        <v>3609091874.3799996</v>
      </c>
      <c r="AW14" s="28">
        <f>AU14+AV14</f>
        <v>10636055986.399998</v>
      </c>
      <c r="AX14" s="28">
        <f>+'[16]intra'!$J$281</f>
        <v>7562673318.470001</v>
      </c>
      <c r="AY14" s="28">
        <f>+'[16]intra'!$K$281+'[16]intra'!$L$281</f>
        <v>3436124803.5099998</v>
      </c>
      <c r="AZ14" s="28">
        <f>AX14+AY14</f>
        <v>10998798121.980001</v>
      </c>
      <c r="BA14" s="28">
        <f>+'[16]intra'!$J$294</f>
        <v>8139492425.76</v>
      </c>
      <c r="BB14" s="28">
        <f>+'[16]intra'!$K$294+'[16]intra'!$L$294</f>
        <v>3234800840.6199994</v>
      </c>
      <c r="BC14" s="28">
        <f>BA14+BB14</f>
        <v>11374293266.38</v>
      </c>
      <c r="BD14" s="28">
        <f>+'[16]intra'!$J$307</f>
        <v>8760161591.08</v>
      </c>
      <c r="BE14" s="28">
        <f>+'[16]intra'!$K$307+'[16]intra'!$L$307</f>
        <v>3002248722.39</v>
      </c>
      <c r="BF14" s="28">
        <f>BD14+BE14</f>
        <v>11762410313.47</v>
      </c>
      <c r="BG14" s="28">
        <f>+'[16]intra'!$J$320</f>
        <v>9428159286.570002</v>
      </c>
      <c r="BH14" s="28">
        <f>+'[16]intra'!$K$320+'[16]intra'!$L$320</f>
        <v>2735611520.46</v>
      </c>
      <c r="BI14" s="28">
        <f>BG14+BH14</f>
        <v>12163770807.030003</v>
      </c>
      <c r="BJ14" s="28">
        <f>+'[16]intra'!$J$333</f>
        <v>10146926545.02</v>
      </c>
      <c r="BK14" s="28">
        <f>+'[16]intra'!$K$333+'[16]intra'!$L$333</f>
        <v>2431689031.8599997</v>
      </c>
      <c r="BL14" s="28">
        <f>BJ14+BK14</f>
        <v>12578615576.880001</v>
      </c>
      <c r="BM14" s="28">
        <f>+'[16]intra'!$J$346</f>
        <v>10920851434.359999</v>
      </c>
      <c r="BN14" s="28">
        <f>+'[16]intra'!$K$346+'[16]intra'!$L$346</f>
        <v>2086613090.4199998</v>
      </c>
      <c r="BO14" s="28">
        <f>BM14+BN14</f>
        <v>13007464524.779999</v>
      </c>
      <c r="BP14" s="28">
        <f>+'[16]intra'!$J$359</f>
        <v>11753610455.4</v>
      </c>
      <c r="BQ14" s="28">
        <f>+'[16]intra'!$K$359+'[16]intra'!$L$359</f>
        <v>1696737992.74</v>
      </c>
      <c r="BR14" s="28">
        <f>BP14+BQ14</f>
        <v>13450348448.14</v>
      </c>
      <c r="BS14" s="28">
        <f>+'[16]intra'!$J$372</f>
        <v>12649870714.59</v>
      </c>
      <c r="BT14" s="28">
        <f>+'[16]intra'!$K$372+'[16]intra'!$L$372</f>
        <v>1259434558.48</v>
      </c>
      <c r="BU14" s="28">
        <f>BS14+BT14</f>
        <v>13909305273.07</v>
      </c>
      <c r="BV14" s="28">
        <f>+'[16]intra'!$J$385</f>
        <v>13614249085.500002</v>
      </c>
      <c r="BW14" s="28">
        <f>+'[16]intra'!$K$385+'[16]intra'!$L$385</f>
        <v>769432319.5099999</v>
      </c>
      <c r="BX14" s="28">
        <f>BV14+BW14</f>
        <v>14383681405.010002</v>
      </c>
      <c r="BY14" s="28">
        <f>+'[16]intra'!$J$398</f>
        <v>12135189721.31</v>
      </c>
      <c r="BZ14" s="28">
        <f>+'[16]intra'!$K$398+'[16]intra'!$L$398</f>
        <v>224983396.08999997</v>
      </c>
      <c r="CA14" s="28">
        <f>BY14+BZ14</f>
        <v>12360173117.4</v>
      </c>
      <c r="CB14" s="28">
        <f>+'[16]intra'!$J$411</f>
        <v>0</v>
      </c>
      <c r="CC14" s="28">
        <f>+'[16]intra'!$K$411+'[16]intra'!$L$411</f>
        <v>0</v>
      </c>
      <c r="CD14" s="28">
        <f>CB14+CC14</f>
        <v>0</v>
      </c>
      <c r="CE14" s="28">
        <f>+'[16]intra'!$J$424</f>
        <v>0</v>
      </c>
      <c r="CF14" s="28">
        <f>+'[16]intra'!$K$424+'[16]intra'!$L$424</f>
        <v>0</v>
      </c>
      <c r="CG14" s="28">
        <f>CE14+CF14</f>
        <v>0</v>
      </c>
      <c r="CH14" s="28">
        <f>+'[16]intra'!$J$437</f>
        <v>0</v>
      </c>
      <c r="CI14" s="28">
        <f>+'[16]intra'!$K$437+'[16]intra'!$L$437</f>
        <v>0</v>
      </c>
      <c r="CJ14" s="28">
        <f>CH14+CI14</f>
        <v>0</v>
      </c>
      <c r="CK14" s="28">
        <f t="shared" si="6"/>
        <v>164681856646.337</v>
      </c>
      <c r="CL14" s="28">
        <f t="shared" si="6"/>
        <v>82686667835.84187</v>
      </c>
      <c r="CM14" s="28">
        <f>CK14+CL14</f>
        <v>247368524482.1789</v>
      </c>
      <c r="CN14" s="39" t="s">
        <v>96</v>
      </c>
      <c r="CO14" s="4"/>
      <c r="CP14" s="72"/>
    </row>
    <row r="15" spans="1:94" ht="15">
      <c r="A15" s="12" t="s">
        <v>273</v>
      </c>
      <c r="B15" s="28">
        <f>+'[16]intra'!$M$73</f>
        <v>0</v>
      </c>
      <c r="C15" s="28">
        <f>+'[16]intra'!$N$73+'[16]intra'!$O$73</f>
        <v>0</v>
      </c>
      <c r="D15" s="28">
        <f>B15+C15</f>
        <v>0</v>
      </c>
      <c r="E15" s="28">
        <f>+'[16]intra'!$M$86</f>
        <v>0</v>
      </c>
      <c r="F15" s="28">
        <f>+'[16]intra'!$N$86+'[16]intra'!$O$86</f>
        <v>0</v>
      </c>
      <c r="G15" s="28">
        <f>E15+F15</f>
        <v>0</v>
      </c>
      <c r="H15" s="28">
        <f>+'[16]intra'!$M$99</f>
        <v>0</v>
      </c>
      <c r="I15" s="28">
        <f>+'[16]intra'!$N$99+'[16]intra'!$O$99</f>
        <v>0</v>
      </c>
      <c r="J15" s="28">
        <f>H15+I15</f>
        <v>0</v>
      </c>
      <c r="K15" s="28">
        <f>+'[16]intra'!$M$112</f>
        <v>0</v>
      </c>
      <c r="L15" s="28">
        <f>+'[16]intra'!$N$112+'[16]intra'!$O$112</f>
        <v>0</v>
      </c>
      <c r="M15" s="28">
        <f>K15+L15</f>
        <v>0</v>
      </c>
      <c r="N15" s="28">
        <f>+'[16]intra'!$M$125</f>
        <v>0</v>
      </c>
      <c r="O15" s="28">
        <f>+'[16]intra'!$N$125+'[16]intra'!$O$125</f>
        <v>0</v>
      </c>
      <c r="P15" s="28">
        <f>N15+O15</f>
        <v>0</v>
      </c>
      <c r="Q15" s="28">
        <f>+'[16]intra'!$M$138</f>
        <v>0</v>
      </c>
      <c r="R15" s="28">
        <f>+'[16]intra'!$N$138+'[16]intra'!$O$138</f>
        <v>0</v>
      </c>
      <c r="S15" s="28">
        <f>Q15+R15</f>
        <v>0</v>
      </c>
      <c r="T15" s="28">
        <f>+'[16]intra'!$M$151</f>
        <v>0</v>
      </c>
      <c r="U15" s="28">
        <f>+'[16]intra'!$N$151+'[16]intra'!$O$151</f>
        <v>0</v>
      </c>
      <c r="V15" s="28">
        <f>T15+U15</f>
        <v>0</v>
      </c>
      <c r="W15" s="28">
        <f>+'[16]intra'!$M$164</f>
        <v>0</v>
      </c>
      <c r="X15" s="28">
        <f>+'[16]intra'!$N$164+'[16]intra'!$O$164</f>
        <v>0</v>
      </c>
      <c r="Y15" s="28">
        <f>W15+X15</f>
        <v>0</v>
      </c>
      <c r="Z15" s="28">
        <f>+'[16]intra'!$M$177</f>
        <v>0</v>
      </c>
      <c r="AA15" s="28">
        <f>+'[16]intra'!$N$177+'[16]intra'!$O$177</f>
        <v>0</v>
      </c>
      <c r="AB15" s="28">
        <f>Z15+AA15</f>
        <v>0</v>
      </c>
      <c r="AC15" s="28">
        <f>+'[16]intra'!$M$190</f>
        <v>0</v>
      </c>
      <c r="AD15" s="28">
        <f>+'[16]intra'!$N$190+'[16]intra'!$O$190</f>
        <v>0</v>
      </c>
      <c r="AE15" s="28">
        <f>AC15+AD15</f>
        <v>0</v>
      </c>
      <c r="AF15" s="28">
        <f>+'[16]intra'!$M$203</f>
        <v>0</v>
      </c>
      <c r="AG15" s="28">
        <f>+'[16]intra'!$N$203+'[16]intra'!$O$203</f>
        <v>0</v>
      </c>
      <c r="AH15" s="28">
        <f>AF15+AG15</f>
        <v>0</v>
      </c>
      <c r="AI15" s="28">
        <f>+'[16]intra'!$M$216</f>
        <v>0</v>
      </c>
      <c r="AJ15" s="28">
        <f>+'[16]intra'!$N$216+'[16]intra'!$O$216</f>
        <v>0</v>
      </c>
      <c r="AK15" s="28">
        <f>AI15+AJ15</f>
        <v>0</v>
      </c>
      <c r="AL15" s="28">
        <f>+'[16]intra'!$M$229</f>
        <v>0</v>
      </c>
      <c r="AM15" s="28">
        <f>+'[16]intra'!$N$229+'[16]intra'!$O$229</f>
        <v>0</v>
      </c>
      <c r="AN15" s="28">
        <f>AL15+AM15</f>
        <v>0</v>
      </c>
      <c r="AO15" s="28">
        <f>+'[16]intra'!$M$242</f>
        <v>0</v>
      </c>
      <c r="AP15" s="28">
        <f>+'[16]intra'!$N$242+'[16]intra'!$O$242</f>
        <v>0</v>
      </c>
      <c r="AQ15" s="28">
        <f>AO15+AP15</f>
        <v>0</v>
      </c>
      <c r="AR15" s="28">
        <f>+'[16]intra'!$M$255</f>
        <v>0</v>
      </c>
      <c r="AS15" s="28">
        <f>+'[16]intra'!$N$255+'[16]intra'!$O$255</f>
        <v>0</v>
      </c>
      <c r="AT15" s="28">
        <f>AR15+AS15</f>
        <v>0</v>
      </c>
      <c r="AU15" s="28">
        <f>+'[16]intra'!$M$268</f>
        <v>0</v>
      </c>
      <c r="AV15" s="28">
        <f>+'[16]intra'!$N$268+'[16]intra'!$O$268</f>
        <v>0</v>
      </c>
      <c r="AW15" s="28">
        <f>AU15+AV15</f>
        <v>0</v>
      </c>
      <c r="AX15" s="28">
        <f>+'[16]intra'!$M$281</f>
        <v>0</v>
      </c>
      <c r="AY15" s="28">
        <f>+'[16]intra'!$N$281+'[16]intra'!$O$281</f>
        <v>0</v>
      </c>
      <c r="AZ15" s="28">
        <f>AX15+AY15</f>
        <v>0</v>
      </c>
      <c r="BA15" s="28">
        <f>+'[16]intra'!$M$294</f>
        <v>0</v>
      </c>
      <c r="BB15" s="28">
        <f>+'[16]intra'!$N$294+'[16]intra'!$O$294</f>
        <v>0</v>
      </c>
      <c r="BC15" s="28">
        <f>BA15+BB15</f>
        <v>0</v>
      </c>
      <c r="BD15" s="28">
        <f>+'[16]intra'!$M$307</f>
        <v>0</v>
      </c>
      <c r="BE15" s="28">
        <f>+'[16]intra'!$N$307+'[16]intra'!$O$307</f>
        <v>0</v>
      </c>
      <c r="BF15" s="28">
        <f>BD15+BE15</f>
        <v>0</v>
      </c>
      <c r="BG15" s="28">
        <f>+'[16]intra'!$M$320</f>
        <v>0</v>
      </c>
      <c r="BH15" s="28">
        <f>+'[16]intra'!$N$320+'[16]intra'!$O$320</f>
        <v>0</v>
      </c>
      <c r="BI15" s="28">
        <f>BG15+BH15</f>
        <v>0</v>
      </c>
      <c r="BJ15" s="28">
        <f>+'[16]intra'!$M$333</f>
        <v>0</v>
      </c>
      <c r="BK15" s="28">
        <f>+'[16]intra'!$N$333+'[16]intra'!$O$333</f>
        <v>0</v>
      </c>
      <c r="BL15" s="28">
        <f>BJ15+BK15</f>
        <v>0</v>
      </c>
      <c r="BM15" s="28">
        <f>+'[16]intra'!$M$346</f>
        <v>0</v>
      </c>
      <c r="BN15" s="28">
        <f>+'[16]intra'!$N$346+'[16]intra'!$O$346</f>
        <v>0</v>
      </c>
      <c r="BO15" s="28">
        <f>BM15+BN15</f>
        <v>0</v>
      </c>
      <c r="BP15" s="28">
        <f>+'[16]intra'!$M$359</f>
        <v>0</v>
      </c>
      <c r="BQ15" s="28">
        <f>+'[16]intra'!$N$359+'[16]intra'!$O$359</f>
        <v>0</v>
      </c>
      <c r="BR15" s="28">
        <f>BP15+BQ15</f>
        <v>0</v>
      </c>
      <c r="BS15" s="28">
        <f>+'[16]intra'!$M$372</f>
        <v>0</v>
      </c>
      <c r="BT15" s="28">
        <f>+'[16]intra'!$N$372+'[16]intra'!$O$372</f>
        <v>0</v>
      </c>
      <c r="BU15" s="28">
        <f>BS15+BT15</f>
        <v>0</v>
      </c>
      <c r="BV15" s="28">
        <f>+'[16]intra'!$M$385</f>
        <v>0</v>
      </c>
      <c r="BW15" s="28">
        <f>+'[16]intra'!$N$385+'[16]intra'!$O$385</f>
        <v>0</v>
      </c>
      <c r="BX15" s="28">
        <f>BV15+BW15</f>
        <v>0</v>
      </c>
      <c r="BY15" s="28">
        <f>+'[16]intra'!$M$398</f>
        <v>0</v>
      </c>
      <c r="BZ15" s="28">
        <f>+'[16]intra'!$N$398+'[16]intra'!$O$398</f>
        <v>0</v>
      </c>
      <c r="CA15" s="28">
        <f>BY15+BZ15</f>
        <v>0</v>
      </c>
      <c r="CB15" s="28">
        <f>+'[16]intra'!$M$411</f>
        <v>0</v>
      </c>
      <c r="CC15" s="28">
        <f>+'[16]intra'!$N$411+'[16]intra'!$O$411</f>
        <v>0</v>
      </c>
      <c r="CD15" s="28">
        <f>CB15+CC15</f>
        <v>0</v>
      </c>
      <c r="CE15" s="28">
        <f>+'[16]intra'!$M$424</f>
        <v>0</v>
      </c>
      <c r="CF15" s="28">
        <f>+'[16]intra'!$N$424+'[16]intra'!$O$424</f>
        <v>0</v>
      </c>
      <c r="CG15" s="28">
        <f>CE15+CF15</f>
        <v>0</v>
      </c>
      <c r="CH15" s="28">
        <f>+'[16]intra'!$M$437</f>
        <v>0</v>
      </c>
      <c r="CI15" s="28">
        <f>+'[16]intra'!$N$437+'[16]intra'!$O$437</f>
        <v>0</v>
      </c>
      <c r="CJ15" s="28">
        <f>CH15+CI15</f>
        <v>0</v>
      </c>
      <c r="CK15" s="28">
        <f t="shared" si="6"/>
        <v>0</v>
      </c>
      <c r="CL15" s="28">
        <f t="shared" si="6"/>
        <v>0</v>
      </c>
      <c r="CM15" s="28">
        <f>CK15+CL15</f>
        <v>0</v>
      </c>
      <c r="CN15" s="39" t="s">
        <v>57</v>
      </c>
      <c r="CO15" s="4"/>
      <c r="CP15" s="72"/>
    </row>
    <row r="16" spans="1:94" ht="15">
      <c r="A16" s="12" t="s">
        <v>272</v>
      </c>
      <c r="B16" s="28">
        <f>+'[16]intra'!$P$73</f>
        <v>1383620563.17</v>
      </c>
      <c r="C16" s="28">
        <f>+'[16]intra'!$Q$73+'[16]intra'!$R$73</f>
        <v>2831003394.8700004</v>
      </c>
      <c r="D16" s="28">
        <f>B16+C16</f>
        <v>4214623958.0400004</v>
      </c>
      <c r="E16" s="28">
        <f>+'[16]intra'!$P$86</f>
        <v>1649262793.7999997</v>
      </c>
      <c r="F16" s="28">
        <f>+'[16]intra'!$Q$86+'[16]intra'!$R$86</f>
        <v>3024300979.3199997</v>
      </c>
      <c r="G16" s="28">
        <f>E16+F16</f>
        <v>4673563773.119999</v>
      </c>
      <c r="H16" s="28">
        <f>+'[16]intra'!$P$99</f>
        <v>1857901543.29</v>
      </c>
      <c r="I16" s="28">
        <f>+'[16]intra'!$Q$99+'[16]intra'!$R$99</f>
        <v>3221243667.5499997</v>
      </c>
      <c r="J16" s="28">
        <f>H16+I16</f>
        <v>5079145210.84</v>
      </c>
      <c r="K16" s="28">
        <f>+'[16]intra'!$P$112</f>
        <v>2061773217.3000004</v>
      </c>
      <c r="L16" s="28">
        <f>+'[16]intra'!$Q$112+'[16]intra'!$R$112</f>
        <v>3373772120.89</v>
      </c>
      <c r="M16" s="28">
        <f>K16+L16</f>
        <v>5435545338.190001</v>
      </c>
      <c r="N16" s="28">
        <f>+'[16]intra'!$P$125</f>
        <v>2241833862.2400002</v>
      </c>
      <c r="O16" s="28">
        <f>+'[16]intra'!$Q$125+'[16]intra'!$R$125</f>
        <v>3482014311.79</v>
      </c>
      <c r="P16" s="28">
        <f>N16+O16</f>
        <v>5723848174.030001</v>
      </c>
      <c r="Q16" s="28">
        <f>+'[16]intra'!$P$138</f>
        <v>2437098503.74</v>
      </c>
      <c r="R16" s="28">
        <f>+'[16]intra'!$Q$138+'[16]intra'!$R$138</f>
        <v>3528627229.0699997</v>
      </c>
      <c r="S16" s="28">
        <f>Q16+R16</f>
        <v>5965725732.809999</v>
      </c>
      <c r="T16" s="28">
        <f>+'[16]intra'!$P$151</f>
        <v>2638766043.2900004</v>
      </c>
      <c r="U16" s="28">
        <f>+'[16]intra'!$Q$151+'[16]intra'!$R$151</f>
        <v>3578948821.13</v>
      </c>
      <c r="V16" s="28">
        <f>T16+U16</f>
        <v>6217714864.42</v>
      </c>
      <c r="W16" s="28">
        <f>+'[16]intra'!$P$164</f>
        <v>2758127266.08</v>
      </c>
      <c r="X16" s="28">
        <f>+'[16]intra'!$Q$164+'[16]intra'!$R$164</f>
        <v>3746633773.7599993</v>
      </c>
      <c r="Y16" s="28">
        <f>W16+X16</f>
        <v>6504761039.839999</v>
      </c>
      <c r="Z16" s="28">
        <f>+'[16]intra'!$P$177</f>
        <v>2978691102.6200004</v>
      </c>
      <c r="AA16" s="28">
        <f>+'[16]intra'!$Q$177+'[16]intra'!$R$177</f>
        <v>3813432671.4500003</v>
      </c>
      <c r="AB16" s="28">
        <f>Z16+AA16</f>
        <v>6792123774.070001</v>
      </c>
      <c r="AC16" s="28">
        <f>+'[16]intra'!$P$190</f>
        <v>3252035135.2299995</v>
      </c>
      <c r="AD16" s="28">
        <f>+'[16]intra'!$Q$190+'[16]intra'!$R$190</f>
        <v>3839617207.78</v>
      </c>
      <c r="AE16" s="28">
        <f>AC16+AD16</f>
        <v>7091652343.01</v>
      </c>
      <c r="AF16" s="28">
        <f>+'[16]intra'!$P$203</f>
        <v>3537909529.26</v>
      </c>
      <c r="AG16" s="28">
        <f>+'[16]intra'!$Q$203+'[16]intra'!$R$203</f>
        <v>3866345975.1599994</v>
      </c>
      <c r="AH16" s="28">
        <f>AF16+AG16</f>
        <v>7404255504.42</v>
      </c>
      <c r="AI16" s="28">
        <f>+'[16]intra'!$P$216</f>
        <v>3848730464.5200005</v>
      </c>
      <c r="AJ16" s="28">
        <f>+'[16]intra'!$Q$216+'[16]intra'!$R$216</f>
        <v>3881907886.67</v>
      </c>
      <c r="AK16" s="28">
        <f>AI16+AJ16</f>
        <v>7730638351.190001</v>
      </c>
      <c r="AL16" s="28">
        <f>+'[16]intra'!$P$229</f>
        <v>4173722398.2200007</v>
      </c>
      <c r="AM16" s="28">
        <f>+'[16]intra'!$Q$229+'[16]intra'!$R$229</f>
        <v>3893296677.4199996</v>
      </c>
      <c r="AN16" s="28">
        <f>AL16+AM16</f>
        <v>8067019075.64</v>
      </c>
      <c r="AO16" s="28">
        <f>+'[16]intra'!$P$242</f>
        <v>4518491524.7300005</v>
      </c>
      <c r="AP16" s="28">
        <f>+'[16]intra'!$Q$242+'[16]intra'!$R$242</f>
        <v>3843078996.58</v>
      </c>
      <c r="AQ16" s="28">
        <f>AO16+AP16</f>
        <v>8361570521.31</v>
      </c>
      <c r="AR16" s="28">
        <f>+'[16]intra'!$P$255</f>
        <v>4870636511.97</v>
      </c>
      <c r="AS16" s="28">
        <f>+'[16]intra'!$Q$255+'[16]intra'!$R$255</f>
        <v>3781046726.8399997</v>
      </c>
      <c r="AT16" s="28">
        <f>AR16+AS16</f>
        <v>8651683238.81</v>
      </c>
      <c r="AU16" s="28">
        <f>+'[16]intra'!$P$268</f>
        <v>5250014034.740001</v>
      </c>
      <c r="AV16" s="28">
        <f>+'[16]intra'!$Q$268+'[16]intra'!$R$268</f>
        <v>3701847661.2299995</v>
      </c>
      <c r="AW16" s="28">
        <f>AU16+AV16</f>
        <v>8951861695.970001</v>
      </c>
      <c r="AX16" s="28">
        <f>+'[16]intra'!$P$281</f>
        <v>5649307888.85</v>
      </c>
      <c r="AY16" s="28">
        <f>+'[16]intra'!$Q$281+'[16]intra'!$R$281</f>
        <v>3614005820.93</v>
      </c>
      <c r="AZ16" s="28">
        <f>AX16+AY16</f>
        <v>9263313709.78</v>
      </c>
      <c r="BA16" s="28">
        <f>+'[16]intra'!$P$294</f>
        <v>6099699730.900001</v>
      </c>
      <c r="BB16" s="28">
        <f>+'[16]intra'!$Q$294+'[16]intra'!$R$294</f>
        <v>3485188231.3500004</v>
      </c>
      <c r="BC16" s="28">
        <f>BA16+BB16</f>
        <v>9584887962.25</v>
      </c>
      <c r="BD16" s="28">
        <f>+'[16]intra'!$P$307</f>
        <v>6574078330.82</v>
      </c>
      <c r="BE16" s="28">
        <f>+'[16]intra'!$Q$307+'[16]intra'!$R$307</f>
        <v>3343366523.4099994</v>
      </c>
      <c r="BF16" s="28">
        <f>BD16+BE16</f>
        <v>9917444854.23</v>
      </c>
      <c r="BG16" s="28">
        <f>+'[16]intra'!$P$320</f>
        <v>7085108098.860001</v>
      </c>
      <c r="BH16" s="28">
        <f>+'[16]intra'!$Q$320+'[16]intra'!$R$320</f>
        <v>3176432028.44</v>
      </c>
      <c r="BI16" s="28">
        <f>BG16+BH16</f>
        <v>10261540127.300001</v>
      </c>
      <c r="BJ16" s="28">
        <f>+'[16]intra'!$P$333</f>
        <v>7628001886.97</v>
      </c>
      <c r="BK16" s="28">
        <f>+'[16]intra'!$Q$333+'[16]intra'!$R$333</f>
        <v>2990556418.09</v>
      </c>
      <c r="BL16" s="28">
        <f>BJ16+BK16</f>
        <v>10618558305.060001</v>
      </c>
      <c r="BM16" s="28">
        <f>+'[16]intra'!$P$346</f>
        <v>8229544927.49</v>
      </c>
      <c r="BN16" s="28">
        <f>+'[16]intra'!$Q$346+'[16]intra'!$R$346</f>
        <v>2757634701.3999996</v>
      </c>
      <c r="BO16" s="28">
        <f>BM16+BN16</f>
        <v>10987179628.89</v>
      </c>
      <c r="BP16" s="28">
        <f>+'[16]intra'!$P$359</f>
        <v>8868425261.19</v>
      </c>
      <c r="BQ16" s="28">
        <f>+'[16]intra'!$Q$359+'[16]intra'!$R$359</f>
        <v>2499965117.09</v>
      </c>
      <c r="BR16" s="28">
        <f>BP16+BQ16</f>
        <v>11368390378.28</v>
      </c>
      <c r="BS16" s="28">
        <f>+'[16]intra'!$P$372</f>
        <v>9556627382.800001</v>
      </c>
      <c r="BT16" s="28">
        <f>+'[16]intra'!$Q$372+'[16]intra'!$R$372</f>
        <v>2206200218.25</v>
      </c>
      <c r="BU16" s="28">
        <f>BS16+BT16</f>
        <v>11762827601.050001</v>
      </c>
      <c r="BV16" s="28">
        <f>+'[16]intra'!$P$385</f>
        <v>10293504440.05</v>
      </c>
      <c r="BW16" s="28">
        <f>+'[16]intra'!$Q$385+'[16]intra'!$R$385</f>
        <v>1878573940.3999999</v>
      </c>
      <c r="BX16" s="28">
        <f>BV16+BW16</f>
        <v>12172078380.449999</v>
      </c>
      <c r="BY16" s="28">
        <f>+'[16]intra'!$P$398</f>
        <v>11097712817.61</v>
      </c>
      <c r="BZ16" s="28">
        <f>+'[16]intra'!$Q$398+'[16]intra'!$R$398</f>
        <v>1496917055.7099998</v>
      </c>
      <c r="CA16" s="28">
        <f>BY16+BZ16</f>
        <v>12594629873.32</v>
      </c>
      <c r="CB16" s="28">
        <f>+'[16]intra'!$P$411</f>
        <v>11957955891.710001</v>
      </c>
      <c r="CC16" s="28">
        <f>+'[16]intra'!$Q$411+'[16]intra'!$R$411</f>
        <v>1073656762.63</v>
      </c>
      <c r="CD16" s="28">
        <f>CB16+CC16</f>
        <v>13031612654.34</v>
      </c>
      <c r="CE16" s="28">
        <f>+'[16]intra'!$P$424</f>
        <v>12884565372.099998</v>
      </c>
      <c r="CF16" s="28">
        <f>+'[16]intra'!$Q$424+'[16]intra'!$R$424</f>
        <v>599010212.79</v>
      </c>
      <c r="CG16" s="28">
        <f>CE16+CF16</f>
        <v>13483575584.89</v>
      </c>
      <c r="CH16" s="28">
        <f>+'[16]intra'!$P$437</f>
        <v>7972115281.860001</v>
      </c>
      <c r="CI16" s="28">
        <f>+'[16]intra'!$Q$437+'[16]intra'!$R$437</f>
        <v>108648242.30000001</v>
      </c>
      <c r="CJ16" s="28">
        <f>CH16+CI16</f>
        <v>8080763524.160001</v>
      </c>
      <c r="CK16" s="28">
        <f t="shared" si="6"/>
        <v>163355261805.41003</v>
      </c>
      <c r="CL16" s="28">
        <f t="shared" si="6"/>
        <v>86637273374.29997</v>
      </c>
      <c r="CM16" s="28">
        <f>CK16+CL16</f>
        <v>249992535179.71002</v>
      </c>
      <c r="CO16" s="4"/>
      <c r="CP16" s="72"/>
    </row>
    <row r="17" spans="1:95" ht="15">
      <c r="A17" s="20" t="s">
        <v>4</v>
      </c>
      <c r="B17" s="21">
        <f>+B18+B33</f>
        <v>580027606.5779636</v>
      </c>
      <c r="C17" s="21">
        <f>+C18+C33</f>
        <v>2222446154.5511885</v>
      </c>
      <c r="D17" s="21">
        <f>+D18+D33</f>
        <v>2802473761.129152</v>
      </c>
      <c r="E17" s="21">
        <f aca="true" t="shared" si="7" ref="E17:BP17">+E18+E33</f>
        <v>1031323786.4692519</v>
      </c>
      <c r="F17" s="21">
        <f t="shared" si="7"/>
        <v>2102311289.6221013</v>
      </c>
      <c r="G17" s="21">
        <f t="shared" si="7"/>
        <v>3133635076.091353</v>
      </c>
      <c r="H17" s="21">
        <f t="shared" si="7"/>
        <v>1600755584.6175323</v>
      </c>
      <c r="I17" s="21">
        <f t="shared" si="7"/>
        <v>1923895074.8409722</v>
      </c>
      <c r="J17" s="21">
        <f t="shared" si="7"/>
        <v>3524650659.458504</v>
      </c>
      <c r="K17" s="21">
        <f t="shared" si="7"/>
        <v>2118702023.8928761</v>
      </c>
      <c r="L17" s="21">
        <f t="shared" si="7"/>
        <v>1688107094.2256012</v>
      </c>
      <c r="M17" s="21">
        <f t="shared" si="7"/>
        <v>3806809118.118478</v>
      </c>
      <c r="N17" s="21">
        <f t="shared" si="7"/>
        <v>2367119087.6913266</v>
      </c>
      <c r="O17" s="21">
        <f t="shared" si="7"/>
        <v>1497754898.8827782</v>
      </c>
      <c r="P17" s="21">
        <f t="shared" si="7"/>
        <v>3864873986.5741043</v>
      </c>
      <c r="Q17" s="21">
        <f t="shared" si="7"/>
        <v>2404631026.655596</v>
      </c>
      <c r="R17" s="21">
        <f t="shared" si="7"/>
        <v>1318829386.9960978</v>
      </c>
      <c r="S17" s="21">
        <f t="shared" si="7"/>
        <v>3723460413.6516943</v>
      </c>
      <c r="T17" s="21">
        <f t="shared" si="7"/>
        <v>2942214752.4261045</v>
      </c>
      <c r="U17" s="21">
        <f t="shared" si="7"/>
        <v>1130315754.277841</v>
      </c>
      <c r="V17" s="21">
        <f t="shared" si="7"/>
        <v>4072530506.7039456</v>
      </c>
      <c r="W17" s="21">
        <f t="shared" si="7"/>
        <v>2801093770.4627533</v>
      </c>
      <c r="X17" s="21">
        <f t="shared" si="7"/>
        <v>917715860.9751217</v>
      </c>
      <c r="Y17" s="21">
        <f t="shared" si="7"/>
        <v>3718809631.4378757</v>
      </c>
      <c r="Z17" s="21">
        <f t="shared" si="7"/>
        <v>2447753566.0952587</v>
      </c>
      <c r="AA17" s="21">
        <f t="shared" si="7"/>
        <v>713235587.1302462</v>
      </c>
      <c r="AB17" s="21">
        <f t="shared" si="7"/>
        <v>3160989153.225505</v>
      </c>
      <c r="AC17" s="21">
        <f t="shared" si="7"/>
        <v>1594985353.2703278</v>
      </c>
      <c r="AD17" s="21">
        <f t="shared" si="7"/>
        <v>565029915.6891446</v>
      </c>
      <c r="AE17" s="21">
        <f t="shared" si="7"/>
        <v>2160015268.9594727</v>
      </c>
      <c r="AF17" s="21">
        <f t="shared" si="7"/>
        <v>1319651361.8799682</v>
      </c>
      <c r="AG17" s="21">
        <f t="shared" si="7"/>
        <v>479970114.28845286</v>
      </c>
      <c r="AH17" s="21">
        <f t="shared" si="7"/>
        <v>1799621476.1684213</v>
      </c>
      <c r="AI17" s="21">
        <f t="shared" si="7"/>
        <v>1290083171.9699998</v>
      </c>
      <c r="AJ17" s="21">
        <f t="shared" si="7"/>
        <v>410086063.4203025</v>
      </c>
      <c r="AK17" s="21">
        <f t="shared" si="7"/>
        <v>1700169235.3903024</v>
      </c>
      <c r="AL17" s="21">
        <f t="shared" si="7"/>
        <v>1273316362.158</v>
      </c>
      <c r="AM17" s="21">
        <f t="shared" si="7"/>
        <v>342280165.56841433</v>
      </c>
      <c r="AN17" s="21">
        <f t="shared" si="7"/>
        <v>1615596527.7264142</v>
      </c>
      <c r="AO17" s="21">
        <f t="shared" si="7"/>
        <v>1210895478.0619998</v>
      </c>
      <c r="AP17" s="21">
        <f t="shared" si="7"/>
        <v>275968003.15836954</v>
      </c>
      <c r="AQ17" s="21">
        <f t="shared" si="7"/>
        <v>1486863481.2203693</v>
      </c>
      <c r="AR17" s="21">
        <f t="shared" si="7"/>
        <v>1115946442.51</v>
      </c>
      <c r="AS17" s="21">
        <f t="shared" si="7"/>
        <v>214248949.20254457</v>
      </c>
      <c r="AT17" s="21">
        <f t="shared" si="7"/>
        <v>1330195391.7125447</v>
      </c>
      <c r="AU17" s="21">
        <f t="shared" si="7"/>
        <v>1094118679.3339999</v>
      </c>
      <c r="AV17" s="21">
        <f t="shared" si="7"/>
        <v>154954974.19025698</v>
      </c>
      <c r="AW17" s="21">
        <f t="shared" si="7"/>
        <v>1249073653.524257</v>
      </c>
      <c r="AX17" s="21">
        <f t="shared" si="7"/>
        <v>773112317.127</v>
      </c>
      <c r="AY17" s="21">
        <f t="shared" si="7"/>
        <v>101819615.285</v>
      </c>
      <c r="AZ17" s="21">
        <f t="shared" si="7"/>
        <v>874931932.412</v>
      </c>
      <c r="BA17" s="21">
        <f t="shared" si="7"/>
        <v>702344781.5350009</v>
      </c>
      <c r="BB17" s="21">
        <f t="shared" si="7"/>
        <v>71126412.45</v>
      </c>
      <c r="BC17" s="21">
        <f t="shared" si="7"/>
        <v>773471193.985001</v>
      </c>
      <c r="BD17" s="21">
        <f t="shared" si="7"/>
        <v>638417646.2099999</v>
      </c>
      <c r="BE17" s="21">
        <f t="shared" si="7"/>
        <v>45799463.260000005</v>
      </c>
      <c r="BF17" s="21">
        <f t="shared" si="7"/>
        <v>684217109.4699999</v>
      </c>
      <c r="BG17" s="21">
        <f t="shared" si="7"/>
        <v>673326339.3399999</v>
      </c>
      <c r="BH17" s="21">
        <f t="shared" si="7"/>
        <v>23950135.65</v>
      </c>
      <c r="BI17" s="21">
        <f t="shared" si="7"/>
        <v>697276474.9899999</v>
      </c>
      <c r="BJ17" s="21">
        <f t="shared" si="7"/>
        <v>384920805.26</v>
      </c>
      <c r="BK17" s="21">
        <f t="shared" si="7"/>
        <v>3592425.54</v>
      </c>
      <c r="BL17" s="21">
        <f t="shared" si="7"/>
        <v>388513230.8</v>
      </c>
      <c r="BM17" s="21">
        <f t="shared" si="7"/>
        <v>0</v>
      </c>
      <c r="BN17" s="21">
        <f t="shared" si="7"/>
        <v>0</v>
      </c>
      <c r="BO17" s="21">
        <f t="shared" si="7"/>
        <v>0</v>
      </c>
      <c r="BP17" s="21">
        <f t="shared" si="7"/>
        <v>0</v>
      </c>
      <c r="BQ17" s="21">
        <f aca="true" t="shared" si="8" ref="BQ17:CA17">+BQ18+BQ33</f>
        <v>0</v>
      </c>
      <c r="BR17" s="21">
        <f t="shared" si="8"/>
        <v>0</v>
      </c>
      <c r="BS17" s="21">
        <f t="shared" si="8"/>
        <v>0</v>
      </c>
      <c r="BT17" s="21">
        <f t="shared" si="8"/>
        <v>0</v>
      </c>
      <c r="BU17" s="21">
        <f t="shared" si="8"/>
        <v>0</v>
      </c>
      <c r="BV17" s="21">
        <f t="shared" si="8"/>
        <v>0</v>
      </c>
      <c r="BW17" s="21">
        <f t="shared" si="8"/>
        <v>0</v>
      </c>
      <c r="BX17" s="21">
        <f t="shared" si="8"/>
        <v>0</v>
      </c>
      <c r="BY17" s="21">
        <f t="shared" si="8"/>
        <v>0</v>
      </c>
      <c r="BZ17" s="21">
        <f t="shared" si="8"/>
        <v>0</v>
      </c>
      <c r="CA17" s="21">
        <f t="shared" si="8"/>
        <v>0</v>
      </c>
      <c r="CB17" s="21">
        <f aca="true" t="shared" si="9" ref="CB17:CM17">+CB18+CB33</f>
        <v>0</v>
      </c>
      <c r="CC17" s="21">
        <f t="shared" si="9"/>
        <v>0</v>
      </c>
      <c r="CD17" s="21">
        <f t="shared" si="9"/>
        <v>0</v>
      </c>
      <c r="CE17" s="21">
        <f t="shared" si="9"/>
        <v>0</v>
      </c>
      <c r="CF17" s="21">
        <f t="shared" si="9"/>
        <v>0</v>
      </c>
      <c r="CG17" s="21">
        <f t="shared" si="9"/>
        <v>0</v>
      </c>
      <c r="CH17" s="21">
        <f t="shared" si="9"/>
        <v>0</v>
      </c>
      <c r="CI17" s="21">
        <f t="shared" si="9"/>
        <v>0</v>
      </c>
      <c r="CJ17" s="21">
        <f t="shared" si="9"/>
        <v>0</v>
      </c>
      <c r="CK17" s="21">
        <f t="shared" si="9"/>
        <v>30364739943.544968</v>
      </c>
      <c r="CL17" s="21">
        <f t="shared" si="9"/>
        <v>16203437339.204435</v>
      </c>
      <c r="CM17" s="21">
        <f t="shared" si="9"/>
        <v>46568177282.74939</v>
      </c>
      <c r="CO17" s="4"/>
      <c r="CP17" s="72"/>
      <c r="CQ17" s="86"/>
    </row>
    <row r="18" spans="1:94" ht="15">
      <c r="A18" s="131" t="s">
        <v>232</v>
      </c>
      <c r="B18" s="29">
        <f>SUM(B19:B32)</f>
        <v>404944837.5834749</v>
      </c>
      <c r="C18" s="29">
        <f>SUM(C19:C32)</f>
        <v>1482760188.499596</v>
      </c>
      <c r="D18" s="29">
        <f>SUM(D19:D32)</f>
        <v>1887705026.0830708</v>
      </c>
      <c r="E18" s="29">
        <f aca="true" t="shared" si="10" ref="E18:BP18">SUM(E19:E32)</f>
        <v>726030741.7075931</v>
      </c>
      <c r="F18" s="29">
        <f t="shared" si="10"/>
        <v>1387522335.1472242</v>
      </c>
      <c r="G18" s="29">
        <f t="shared" si="10"/>
        <v>2113553076.8548172</v>
      </c>
      <c r="H18" s="29">
        <f t="shared" si="10"/>
        <v>1097238629.7651224</v>
      </c>
      <c r="I18" s="29">
        <f t="shared" si="10"/>
        <v>1262878579.441326</v>
      </c>
      <c r="J18" s="29">
        <f t="shared" si="10"/>
        <v>2360117209.206448</v>
      </c>
      <c r="K18" s="29">
        <f t="shared" si="10"/>
        <v>1423020688.9088888</v>
      </c>
      <c r="L18" s="29">
        <f t="shared" si="10"/>
        <v>1079452452.7909777</v>
      </c>
      <c r="M18" s="29">
        <f t="shared" si="10"/>
        <v>2502473141.699867</v>
      </c>
      <c r="N18" s="29">
        <f t="shared" si="10"/>
        <v>1662326512.7373266</v>
      </c>
      <c r="O18" s="29">
        <f t="shared" si="10"/>
        <v>944487865.9240301</v>
      </c>
      <c r="P18" s="29">
        <f t="shared" si="10"/>
        <v>2606814378.661356</v>
      </c>
      <c r="Q18" s="29">
        <f t="shared" si="10"/>
        <v>1691336439.253596</v>
      </c>
      <c r="R18" s="29">
        <f t="shared" si="10"/>
        <v>807189033.5772252</v>
      </c>
      <c r="S18" s="29">
        <f t="shared" si="10"/>
        <v>2498525472.8308215</v>
      </c>
      <c r="T18" s="29">
        <f t="shared" si="10"/>
        <v>1729509990.6901844</v>
      </c>
      <c r="U18" s="29">
        <f t="shared" si="10"/>
        <v>668305227.2468438</v>
      </c>
      <c r="V18" s="29">
        <f t="shared" si="10"/>
        <v>2397815217.9370284</v>
      </c>
      <c r="W18" s="29">
        <f t="shared" si="10"/>
        <v>1767318820.9127536</v>
      </c>
      <c r="X18" s="29">
        <f t="shared" si="10"/>
        <v>526648644.18</v>
      </c>
      <c r="Y18" s="29">
        <f t="shared" si="10"/>
        <v>2293967465.092754</v>
      </c>
      <c r="Z18" s="29">
        <f t="shared" si="10"/>
        <v>1503360763.155259</v>
      </c>
      <c r="AA18" s="29">
        <f t="shared" si="10"/>
        <v>383090406.96000004</v>
      </c>
      <c r="AB18" s="29">
        <f t="shared" si="10"/>
        <v>1886451170.115259</v>
      </c>
      <c r="AC18" s="29">
        <f t="shared" si="10"/>
        <v>738690820.5433279</v>
      </c>
      <c r="AD18" s="29">
        <f t="shared" si="10"/>
        <v>290358675.41999996</v>
      </c>
      <c r="AE18" s="29">
        <f t="shared" si="10"/>
        <v>1029049495.9633279</v>
      </c>
      <c r="AF18" s="29">
        <f t="shared" si="10"/>
        <v>549724172.4729681</v>
      </c>
      <c r="AG18" s="29">
        <f t="shared" si="10"/>
        <v>255024137.48</v>
      </c>
      <c r="AH18" s="29">
        <f t="shared" si="10"/>
        <v>804748309.9529682</v>
      </c>
      <c r="AI18" s="29">
        <f t="shared" si="10"/>
        <v>565728507.33</v>
      </c>
      <c r="AJ18" s="29">
        <f t="shared" si="10"/>
        <v>230049512.87</v>
      </c>
      <c r="AK18" s="29">
        <f t="shared" si="10"/>
        <v>795778020.2</v>
      </c>
      <c r="AL18" s="29">
        <f t="shared" si="10"/>
        <v>590040458.5200001</v>
      </c>
      <c r="AM18" s="29">
        <f t="shared" si="10"/>
        <v>204837080.01000002</v>
      </c>
      <c r="AN18" s="29">
        <f t="shared" si="10"/>
        <v>794877538.5300001</v>
      </c>
      <c r="AO18" s="29">
        <f t="shared" si="10"/>
        <v>616063333.0699999</v>
      </c>
      <c r="AP18" s="29">
        <f t="shared" si="10"/>
        <v>176961076.72</v>
      </c>
      <c r="AQ18" s="29">
        <f t="shared" si="10"/>
        <v>793024409.79</v>
      </c>
      <c r="AR18" s="29">
        <f t="shared" si="10"/>
        <v>643934067.4</v>
      </c>
      <c r="AS18" s="29">
        <f t="shared" si="10"/>
        <v>148397382.62</v>
      </c>
      <c r="AT18" s="29">
        <f t="shared" si="10"/>
        <v>792331450.0200001</v>
      </c>
      <c r="AU18" s="29">
        <f t="shared" si="10"/>
        <v>673689416.0899999</v>
      </c>
      <c r="AV18" s="29">
        <f t="shared" si="10"/>
        <v>118340447.46</v>
      </c>
      <c r="AW18" s="29">
        <f t="shared" si="10"/>
        <v>792029863.55</v>
      </c>
      <c r="AX18" s="29">
        <f t="shared" si="10"/>
        <v>576143566.41</v>
      </c>
      <c r="AY18" s="29">
        <f t="shared" si="10"/>
        <v>86790790.19</v>
      </c>
      <c r="AZ18" s="29">
        <f t="shared" si="10"/>
        <v>662934356.5999999</v>
      </c>
      <c r="BA18" s="29">
        <f t="shared" si="10"/>
        <v>606090843.6700001</v>
      </c>
      <c r="BB18" s="29">
        <f t="shared" si="10"/>
        <v>66665735.7</v>
      </c>
      <c r="BC18" s="29">
        <f t="shared" si="10"/>
        <v>672756579.3700001</v>
      </c>
      <c r="BD18" s="29">
        <f t="shared" si="10"/>
        <v>638417646.2099999</v>
      </c>
      <c r="BE18" s="29">
        <f t="shared" si="10"/>
        <v>45799463.260000005</v>
      </c>
      <c r="BF18" s="29">
        <f t="shared" si="10"/>
        <v>684217109.4699999</v>
      </c>
      <c r="BG18" s="29">
        <f t="shared" si="10"/>
        <v>673326339.3399999</v>
      </c>
      <c r="BH18" s="29">
        <f t="shared" si="10"/>
        <v>23950135.65</v>
      </c>
      <c r="BI18" s="29">
        <f t="shared" si="10"/>
        <v>697276474.9899999</v>
      </c>
      <c r="BJ18" s="29">
        <f t="shared" si="10"/>
        <v>384920805.26</v>
      </c>
      <c r="BK18" s="29">
        <f t="shared" si="10"/>
        <v>3592425.54</v>
      </c>
      <c r="BL18" s="29">
        <f t="shared" si="10"/>
        <v>388513230.8</v>
      </c>
      <c r="BM18" s="29">
        <f t="shared" si="10"/>
        <v>0</v>
      </c>
      <c r="BN18" s="29">
        <f t="shared" si="10"/>
        <v>0</v>
      </c>
      <c r="BO18" s="29">
        <f t="shared" si="10"/>
        <v>0</v>
      </c>
      <c r="BP18" s="29">
        <f t="shared" si="10"/>
        <v>0</v>
      </c>
      <c r="BQ18" s="29">
        <f aca="true" t="shared" si="11" ref="BQ18:CA18">SUM(BQ19:BQ32)</f>
        <v>0</v>
      </c>
      <c r="BR18" s="29">
        <f t="shared" si="11"/>
        <v>0</v>
      </c>
      <c r="BS18" s="29">
        <f t="shared" si="11"/>
        <v>0</v>
      </c>
      <c r="BT18" s="29">
        <f t="shared" si="11"/>
        <v>0</v>
      </c>
      <c r="BU18" s="29">
        <f t="shared" si="11"/>
        <v>0</v>
      </c>
      <c r="BV18" s="29">
        <f t="shared" si="11"/>
        <v>0</v>
      </c>
      <c r="BW18" s="29">
        <f t="shared" si="11"/>
        <v>0</v>
      </c>
      <c r="BX18" s="29">
        <f t="shared" si="11"/>
        <v>0</v>
      </c>
      <c r="BY18" s="29">
        <f t="shared" si="11"/>
        <v>0</v>
      </c>
      <c r="BZ18" s="29">
        <f t="shared" si="11"/>
        <v>0</v>
      </c>
      <c r="CA18" s="29">
        <f t="shared" si="11"/>
        <v>0</v>
      </c>
      <c r="CB18" s="29">
        <f aca="true" t="shared" si="12" ref="CB18:CJ18">SUM(CB19:CB32)</f>
        <v>0</v>
      </c>
      <c r="CC18" s="29">
        <f t="shared" si="12"/>
        <v>0</v>
      </c>
      <c r="CD18" s="29">
        <f t="shared" si="12"/>
        <v>0</v>
      </c>
      <c r="CE18" s="29">
        <f t="shared" si="12"/>
        <v>0</v>
      </c>
      <c r="CF18" s="29">
        <f t="shared" si="12"/>
        <v>0</v>
      </c>
      <c r="CG18" s="29">
        <f t="shared" si="12"/>
        <v>0</v>
      </c>
      <c r="CH18" s="29">
        <f t="shared" si="12"/>
        <v>0</v>
      </c>
      <c r="CI18" s="29">
        <f t="shared" si="12"/>
        <v>0</v>
      </c>
      <c r="CJ18" s="29">
        <f t="shared" si="12"/>
        <v>0</v>
      </c>
      <c r="CK18" s="29">
        <f>SUM(CK19:CK32)</f>
        <v>19261857401.0305</v>
      </c>
      <c r="CL18" s="29">
        <f>SUM(CL19:CL32)</f>
        <v>10193101596.687223</v>
      </c>
      <c r="CM18" s="29">
        <f>SUM(CM19:CM32)</f>
        <v>29454958997.71772</v>
      </c>
      <c r="CO18" s="4"/>
      <c r="CP18" s="72"/>
    </row>
    <row r="19" spans="1:94" ht="15">
      <c r="A19" s="8" t="s">
        <v>274</v>
      </c>
      <c r="B19" s="6">
        <f>+'[16]extra'!$I$73</f>
        <v>0</v>
      </c>
      <c r="C19" s="6">
        <f>+'[16]extra'!$J$73+'[16]extra'!$K$73</f>
        <v>0</v>
      </c>
      <c r="D19" s="28">
        <f aca="true" t="shared" si="13" ref="D19:D31">B19+C19</f>
        <v>0</v>
      </c>
      <c r="E19" s="6">
        <f>+'[16]extra'!$I$86</f>
        <v>0</v>
      </c>
      <c r="F19" s="6">
        <f>+'[16]extra'!$J$86+'[16]extra'!$K$86</f>
        <v>0</v>
      </c>
      <c r="G19" s="28">
        <f aca="true" t="shared" si="14" ref="G19:G32">E19+F19</f>
        <v>0</v>
      </c>
      <c r="H19" s="6">
        <f>+'[16]extra'!$I$99</f>
        <v>0</v>
      </c>
      <c r="I19" s="6">
        <f>+'[16]extra'!$J$99+'[16]extra'!$K$99</f>
        <v>0</v>
      </c>
      <c r="J19" s="28">
        <f aca="true" t="shared" si="15" ref="J19:J32">H19+I19</f>
        <v>0</v>
      </c>
      <c r="K19" s="6">
        <f>+'[16]extra'!$I$112</f>
        <v>0</v>
      </c>
      <c r="L19" s="6">
        <f>+'[16]extra'!$J$112+'[16]extra'!$K$112</f>
        <v>0</v>
      </c>
      <c r="M19" s="28">
        <f aca="true" t="shared" si="16" ref="M19:M32">K19+L19</f>
        <v>0</v>
      </c>
      <c r="N19" s="6">
        <f>+'[16]extra'!$I$125</f>
        <v>0</v>
      </c>
      <c r="O19" s="6">
        <f>+'[16]extra'!$J$125+'[16]extra'!$K$125</f>
        <v>0</v>
      </c>
      <c r="P19" s="28">
        <f aca="true" t="shared" si="17" ref="P19:P32">N19+O19</f>
        <v>0</v>
      </c>
      <c r="Q19" s="6">
        <f>+'[16]extra'!$I$138</f>
        <v>0</v>
      </c>
      <c r="R19" s="6">
        <f>+'[16]extra'!$J$138+'[16]extra'!$K$138</f>
        <v>0</v>
      </c>
      <c r="S19" s="28">
        <f aca="true" t="shared" si="18" ref="S19:S32">Q19+R19</f>
        <v>0</v>
      </c>
      <c r="T19" s="6">
        <f>+'[16]extra'!$I$151</f>
        <v>0</v>
      </c>
      <c r="U19" s="6">
        <f>+'[16]extra'!$J$151+'[16]extra'!$K$151</f>
        <v>0</v>
      </c>
      <c r="V19" s="28">
        <f aca="true" t="shared" si="19" ref="V19:V32">T19+U19</f>
        <v>0</v>
      </c>
      <c r="W19" s="6">
        <f>+'[16]extra'!$I$164</f>
        <v>0</v>
      </c>
      <c r="X19" s="6">
        <f>+'[16]extra'!$J$164+'[16]extra'!$K$164</f>
        <v>0</v>
      </c>
      <c r="Y19" s="28">
        <f aca="true" t="shared" si="20" ref="Y19:Y32">W19+X19</f>
        <v>0</v>
      </c>
      <c r="Z19" s="6">
        <f>+'[16]extra'!$I$177</f>
        <v>0</v>
      </c>
      <c r="AA19" s="6">
        <f>+'[16]extra'!$J$177+'[16]extra'!$K$177</f>
        <v>0</v>
      </c>
      <c r="AB19" s="28">
        <f aca="true" t="shared" si="21" ref="AB19:AB32">Z19+AA19</f>
        <v>0</v>
      </c>
      <c r="AC19" s="6">
        <f>+'[16]extra'!$I$190</f>
        <v>0</v>
      </c>
      <c r="AD19" s="6">
        <f>+'[16]extra'!$J$190+'[16]extra'!$K$190</f>
        <v>0</v>
      </c>
      <c r="AE19" s="28">
        <f aca="true" t="shared" si="22" ref="AE19:AE32">AC19+AD19</f>
        <v>0</v>
      </c>
      <c r="AF19" s="6">
        <f>+'[16]extra'!$I$203</f>
        <v>0</v>
      </c>
      <c r="AG19" s="6">
        <f>+'[16]extra'!$J$203+'[16]extra'!$K$203</f>
        <v>0</v>
      </c>
      <c r="AH19" s="28">
        <f aca="true" t="shared" si="23" ref="AH19:AH32">AF19+AG19</f>
        <v>0</v>
      </c>
      <c r="AI19" s="6">
        <f>+'[16]extra'!$I$216</f>
        <v>0</v>
      </c>
      <c r="AJ19" s="6">
        <f>+'[16]extra'!$J$216+'[16]extra'!$K$216</f>
        <v>0</v>
      </c>
      <c r="AK19" s="28">
        <f aca="true" t="shared" si="24" ref="AK19:AK32">AI19+AJ19</f>
        <v>0</v>
      </c>
      <c r="AL19" s="6">
        <f>+'[16]extra'!$I$229</f>
        <v>0</v>
      </c>
      <c r="AM19" s="6">
        <f>+'[16]extra'!$J$229+'[16]extra'!$K$229</f>
        <v>0</v>
      </c>
      <c r="AN19" s="28">
        <f aca="true" t="shared" si="25" ref="AN19:AN32">AL19+AM19</f>
        <v>0</v>
      </c>
      <c r="AO19" s="6">
        <f>+'[16]extra'!$I$242</f>
        <v>0</v>
      </c>
      <c r="AP19" s="6">
        <f>+'[16]extra'!$J$242+'[16]extra'!$K$242</f>
        <v>0</v>
      </c>
      <c r="AQ19" s="28">
        <f aca="true" t="shared" si="26" ref="AQ19:AQ32">AO19+AP19</f>
        <v>0</v>
      </c>
      <c r="AR19" s="6">
        <f>+'[16]extra'!$I$255</f>
        <v>0</v>
      </c>
      <c r="AS19" s="6">
        <f>+'[16]extra'!$J$255+'[16]extra'!$K$255</f>
        <v>0</v>
      </c>
      <c r="AT19" s="28">
        <f aca="true" t="shared" si="27" ref="AT19:AT32">AR19+AS19</f>
        <v>0</v>
      </c>
      <c r="AU19" s="6">
        <f>+'[16]extra'!$I$268</f>
        <v>0</v>
      </c>
      <c r="AV19" s="6">
        <f>+'[16]extra'!$J$268+'[16]extra'!$K$268</f>
        <v>0</v>
      </c>
      <c r="AW19" s="28">
        <f aca="true" t="shared" si="28" ref="AW19:AW32">AU19+AV19</f>
        <v>0</v>
      </c>
      <c r="AX19" s="6">
        <f>+'[16]extra'!$I$281</f>
        <v>0</v>
      </c>
      <c r="AY19" s="6">
        <f>+'[16]extra'!$J$281+'[16]extra'!$K$281</f>
        <v>0</v>
      </c>
      <c r="AZ19" s="28">
        <f aca="true" t="shared" si="29" ref="AZ19:AZ32">AX19+AY19</f>
        <v>0</v>
      </c>
      <c r="BA19" s="6">
        <f>+'[16]extra'!$I$294</f>
        <v>0</v>
      </c>
      <c r="BB19" s="6">
        <f>+'[16]extra'!$J$294+'[16]extra'!$K$294</f>
        <v>0</v>
      </c>
      <c r="BC19" s="28">
        <f aca="true" t="shared" si="30" ref="BC19:BC32">BA19+BB19</f>
        <v>0</v>
      </c>
      <c r="BD19" s="6">
        <f>+'[16]extra'!$I$307</f>
        <v>0</v>
      </c>
      <c r="BE19" s="6">
        <f>+'[16]extra'!$J$307+'[16]extra'!$K$307</f>
        <v>0</v>
      </c>
      <c r="BF19" s="28">
        <f aca="true" t="shared" si="31" ref="BF19:BF32">BD19+BE19</f>
        <v>0</v>
      </c>
      <c r="BG19" s="6">
        <f>+'[16]extra'!$I$320</f>
        <v>0</v>
      </c>
      <c r="BH19" s="6">
        <f>+'[16]extra'!$J$320+'[16]extra'!$K$320</f>
        <v>0</v>
      </c>
      <c r="BI19" s="28">
        <f aca="true" t="shared" si="32" ref="BI19:BI32">BG19+BH19</f>
        <v>0</v>
      </c>
      <c r="BJ19" s="6">
        <f>+'[16]extra'!$I$333</f>
        <v>0</v>
      </c>
      <c r="BK19" s="6">
        <f>+'[16]extra'!$J$333+'[16]extra'!$K$333</f>
        <v>0</v>
      </c>
      <c r="BL19" s="28">
        <f aca="true" t="shared" si="33" ref="BL19:BL32">BJ19+BK19</f>
        <v>0</v>
      </c>
      <c r="BM19" s="6">
        <f>+'[16]extra'!$I$346</f>
        <v>0</v>
      </c>
      <c r="BN19" s="6">
        <f>+'[16]extra'!$J$346+'[16]extra'!$K$346</f>
        <v>0</v>
      </c>
      <c r="BO19" s="28">
        <f aca="true" t="shared" si="34" ref="BO19:BO32">BM19+BN19</f>
        <v>0</v>
      </c>
      <c r="BP19" s="6">
        <f>+'[16]extra'!$I$359</f>
        <v>0</v>
      </c>
      <c r="BQ19" s="6">
        <f>+'[16]extra'!$J$359+'[16]extra'!$K$359</f>
        <v>0</v>
      </c>
      <c r="BR19" s="28">
        <f aca="true" t="shared" si="35" ref="BR19:BR32">BP19+BQ19</f>
        <v>0</v>
      </c>
      <c r="BS19" s="6">
        <f>+'[16]extra'!$I$372</f>
        <v>0</v>
      </c>
      <c r="BT19" s="6">
        <f>+'[16]extra'!$J$372+'[16]extra'!$K$372</f>
        <v>0</v>
      </c>
      <c r="BU19" s="28">
        <f aca="true" t="shared" si="36" ref="BU19:BU32">BS19+BT19</f>
        <v>0</v>
      </c>
      <c r="BV19" s="6">
        <f>+'[16]extra'!$I$385</f>
        <v>0</v>
      </c>
      <c r="BW19" s="6">
        <f>+'[16]extra'!$J$385+'[16]extra'!$K$385</f>
        <v>0</v>
      </c>
      <c r="BX19" s="28">
        <f aca="true" t="shared" si="37" ref="BX19:BX32">BV19+BW19</f>
        <v>0</v>
      </c>
      <c r="BY19" s="6">
        <f>+'[16]extra'!$I$398</f>
        <v>0</v>
      </c>
      <c r="BZ19" s="6">
        <f>+'[16]extra'!$J$398+'[16]extra'!$K$398</f>
        <v>0</v>
      </c>
      <c r="CA19" s="28">
        <f aca="true" t="shared" si="38" ref="CA19:CA32">BY19+BZ19</f>
        <v>0</v>
      </c>
      <c r="CB19" s="6">
        <f>+'[16]extra'!$I$411</f>
        <v>0</v>
      </c>
      <c r="CC19" s="6">
        <f>+'[16]extra'!$J$411+'[16]extra'!$K$411</f>
        <v>0</v>
      </c>
      <c r="CD19" s="28">
        <f aca="true" t="shared" si="39" ref="CD19:CD32">CB19+CC19</f>
        <v>0</v>
      </c>
      <c r="CE19" s="6">
        <f>+'[16]extra'!$I$424</f>
        <v>0</v>
      </c>
      <c r="CF19" s="6">
        <f>+'[16]extra'!$J$424+'[16]extra'!$K$424</f>
        <v>0</v>
      </c>
      <c r="CG19" s="28">
        <f aca="true" t="shared" si="40" ref="CG19:CG32">CE19+CF19</f>
        <v>0</v>
      </c>
      <c r="CH19" s="6">
        <f>+'[16]extra'!$I$437</f>
        <v>0</v>
      </c>
      <c r="CI19" s="6">
        <f>+'[16]extra'!$J$437+'[16]extra'!$K$437</f>
        <v>0</v>
      </c>
      <c r="CJ19" s="28">
        <f aca="true" t="shared" si="41" ref="CJ19:CJ32">CH19+CI19</f>
        <v>0</v>
      </c>
      <c r="CK19" s="28">
        <f>+B19+E19+H19+K19+N19+Q19+T19+W19+Z19+AC19+AF19+AI19+AL19+AO19+AR19+AU19+AX19+BA19+BD19+BG19+BJ19+BM19+BP19+BS19+BV19+BY19+CB19+CE19+CH19</f>
        <v>0</v>
      </c>
      <c r="CL19" s="28">
        <f>+C19+F19+I19+L19+O19+R19+U19+X19+AA19+AD19+AG19+AJ19+AM19+AP19+AS19+AV19+AY19+BB19+BE19+BH19+BK19+BN19+BQ19+BT19+BW19+BZ19+CC19+CF19+CI19</f>
        <v>0</v>
      </c>
      <c r="CM19" s="28">
        <f>+CK19+CL19</f>
        <v>0</v>
      </c>
      <c r="CN19" s="91" t="s">
        <v>235</v>
      </c>
      <c r="CO19" s="4"/>
      <c r="CP19" s="72"/>
    </row>
    <row r="20" spans="1:94" ht="15">
      <c r="A20" s="8" t="s">
        <v>275</v>
      </c>
      <c r="B20" s="6">
        <f>+'[16]extra'!$L$73</f>
        <v>0</v>
      </c>
      <c r="C20" s="6">
        <f>+'[16]extra'!$M$73+'[16]extra'!$N$73</f>
        <v>0</v>
      </c>
      <c r="D20" s="28">
        <f t="shared" si="13"/>
        <v>0</v>
      </c>
      <c r="E20" s="6">
        <f>+'[16]extra'!$L$86</f>
        <v>0</v>
      </c>
      <c r="F20" s="6">
        <f>+'[16]extra'!$M$86+'[16]extra'!$N$86</f>
        <v>0</v>
      </c>
      <c r="G20" s="28">
        <f t="shared" si="14"/>
        <v>0</v>
      </c>
      <c r="H20" s="6">
        <f>+'[16]extra'!$L$99</f>
        <v>0</v>
      </c>
      <c r="I20" s="6">
        <f>+'[16]extra'!$M$99+'[16]extra'!$N$99</f>
        <v>0</v>
      </c>
      <c r="J20" s="28">
        <f t="shared" si="15"/>
        <v>0</v>
      </c>
      <c r="K20" s="6">
        <f>+'[16]extra'!$L$112</f>
        <v>0</v>
      </c>
      <c r="L20" s="6">
        <f>+'[16]extra'!$M$112+'[16]extra'!$N$112</f>
        <v>0</v>
      </c>
      <c r="M20" s="28">
        <f t="shared" si="16"/>
        <v>0</v>
      </c>
      <c r="N20" s="6">
        <f>+'[16]extra'!$L$125</f>
        <v>0</v>
      </c>
      <c r="O20" s="6">
        <f>+'[16]extra'!$M$125+'[16]extra'!$N$125</f>
        <v>0</v>
      </c>
      <c r="P20" s="28">
        <f t="shared" si="17"/>
        <v>0</v>
      </c>
      <c r="Q20" s="6">
        <f>+'[16]extra'!$L$138</f>
        <v>0</v>
      </c>
      <c r="R20" s="6">
        <f>+'[16]extra'!$M$138+'[16]extra'!$N$138</f>
        <v>0</v>
      </c>
      <c r="S20" s="28">
        <f t="shared" si="18"/>
        <v>0</v>
      </c>
      <c r="T20" s="6">
        <f>+'[16]extra'!$L$151</f>
        <v>0</v>
      </c>
      <c r="U20" s="6">
        <f>+'[16]extra'!$M$151+'[16]extra'!$N$151</f>
        <v>0</v>
      </c>
      <c r="V20" s="28">
        <f t="shared" si="19"/>
        <v>0</v>
      </c>
      <c r="W20" s="6">
        <f>+'[16]extra'!$L$164</f>
        <v>0</v>
      </c>
      <c r="X20" s="6">
        <f>+'[16]extra'!$M$164+'[16]extra'!$N$164</f>
        <v>0</v>
      </c>
      <c r="Y20" s="28">
        <f t="shared" si="20"/>
        <v>0</v>
      </c>
      <c r="Z20" s="6">
        <f>+'[16]extra'!$L$177</f>
        <v>0</v>
      </c>
      <c r="AA20" s="6">
        <f>+'[16]extra'!$M$177+'[16]extra'!$N$177</f>
        <v>0</v>
      </c>
      <c r="AB20" s="28">
        <f t="shared" si="21"/>
        <v>0</v>
      </c>
      <c r="AC20" s="6">
        <f>+'[16]extra'!$L$190</f>
        <v>0</v>
      </c>
      <c r="AD20" s="6">
        <f>+'[16]extra'!$M$190+'[16]extra'!$N$190</f>
        <v>0</v>
      </c>
      <c r="AE20" s="28">
        <f t="shared" si="22"/>
        <v>0</v>
      </c>
      <c r="AF20" s="6">
        <f>+'[16]extra'!$L$203</f>
        <v>0</v>
      </c>
      <c r="AG20" s="6">
        <f>+'[16]extra'!$M$203+'[16]extra'!$N$203</f>
        <v>0</v>
      </c>
      <c r="AH20" s="28">
        <f t="shared" si="23"/>
        <v>0</v>
      </c>
      <c r="AI20" s="6">
        <f>+'[16]extra'!$L$216</f>
        <v>0</v>
      </c>
      <c r="AJ20" s="6">
        <f>+'[16]extra'!$M$216+'[16]extra'!$N$216</f>
        <v>0</v>
      </c>
      <c r="AK20" s="28">
        <f t="shared" si="24"/>
        <v>0</v>
      </c>
      <c r="AL20" s="6">
        <f>+'[16]extra'!$L$229</f>
        <v>0</v>
      </c>
      <c r="AM20" s="6">
        <f>+'[16]extra'!$M$229+'[16]extra'!$N$229</f>
        <v>0</v>
      </c>
      <c r="AN20" s="28">
        <f t="shared" si="25"/>
        <v>0</v>
      </c>
      <c r="AO20" s="6">
        <f>+'[16]extra'!$L$242</f>
        <v>0</v>
      </c>
      <c r="AP20" s="6">
        <f>+'[16]extra'!$M$242+'[16]extra'!$N$242</f>
        <v>0</v>
      </c>
      <c r="AQ20" s="28">
        <f t="shared" si="26"/>
        <v>0</v>
      </c>
      <c r="AR20" s="6">
        <f>+'[16]extra'!$L$255</f>
        <v>0</v>
      </c>
      <c r="AS20" s="6">
        <f>+'[16]extra'!$M$255+'[16]extra'!$N$255</f>
        <v>0</v>
      </c>
      <c r="AT20" s="28">
        <f t="shared" si="27"/>
        <v>0</v>
      </c>
      <c r="AU20" s="6">
        <f>+'[16]extra'!$L$268</f>
        <v>0</v>
      </c>
      <c r="AV20" s="6">
        <f>+'[16]extra'!$M$268+'[16]extra'!$N$268</f>
        <v>0</v>
      </c>
      <c r="AW20" s="28">
        <f t="shared" si="28"/>
        <v>0</v>
      </c>
      <c r="AX20" s="6">
        <f>+'[16]extra'!$L$281</f>
        <v>0</v>
      </c>
      <c r="AY20" s="6">
        <f>+'[16]extra'!$M$281+'[16]extra'!$N$281</f>
        <v>0</v>
      </c>
      <c r="AZ20" s="28">
        <f t="shared" si="29"/>
        <v>0</v>
      </c>
      <c r="BA20" s="6">
        <f>+'[16]extra'!$L$294</f>
        <v>0</v>
      </c>
      <c r="BB20" s="6">
        <f>+'[16]extra'!$M$294+'[16]extra'!$N$294</f>
        <v>0</v>
      </c>
      <c r="BC20" s="28">
        <f t="shared" si="30"/>
        <v>0</v>
      </c>
      <c r="BD20" s="6">
        <f>+'[16]extra'!$L$307</f>
        <v>0</v>
      </c>
      <c r="BE20" s="6">
        <f>+'[16]extra'!$M$307+'[16]extra'!$N$307</f>
        <v>0</v>
      </c>
      <c r="BF20" s="28">
        <f t="shared" si="31"/>
        <v>0</v>
      </c>
      <c r="BG20" s="6">
        <f>+'[16]extra'!$L$320</f>
        <v>0</v>
      </c>
      <c r="BH20" s="6">
        <f>+'[16]extra'!$M$320+'[16]extra'!$N$320</f>
        <v>0</v>
      </c>
      <c r="BI20" s="28">
        <f t="shared" si="32"/>
        <v>0</v>
      </c>
      <c r="BJ20" s="6">
        <f>+'[16]extra'!$L$333</f>
        <v>0</v>
      </c>
      <c r="BK20" s="6">
        <f>+'[16]extra'!$M$333+'[16]extra'!$N$333</f>
        <v>0</v>
      </c>
      <c r="BL20" s="28">
        <f t="shared" si="33"/>
        <v>0</v>
      </c>
      <c r="BM20" s="6">
        <f>+'[16]extra'!$L$346</f>
        <v>0</v>
      </c>
      <c r="BN20" s="6">
        <f>+'[16]extra'!$M$346+'[16]extra'!$N$346</f>
        <v>0</v>
      </c>
      <c r="BO20" s="28">
        <f t="shared" si="34"/>
        <v>0</v>
      </c>
      <c r="BP20" s="6">
        <f>+'[16]extra'!$L$359</f>
        <v>0</v>
      </c>
      <c r="BQ20" s="6">
        <f>+'[16]extra'!$M$359+'[16]extra'!$N$359</f>
        <v>0</v>
      </c>
      <c r="BR20" s="28">
        <f t="shared" si="35"/>
        <v>0</v>
      </c>
      <c r="BS20" s="6">
        <f>+'[16]extra'!$L$372</f>
        <v>0</v>
      </c>
      <c r="BT20" s="6">
        <f>+'[16]extra'!$M$372+'[16]extra'!$N$372</f>
        <v>0</v>
      </c>
      <c r="BU20" s="28">
        <f t="shared" si="36"/>
        <v>0</v>
      </c>
      <c r="BV20" s="6">
        <f>+'[16]extra'!$L$385</f>
        <v>0</v>
      </c>
      <c r="BW20" s="6">
        <f>+'[16]extra'!$M$385+'[16]extra'!$N$385</f>
        <v>0</v>
      </c>
      <c r="BX20" s="28">
        <f t="shared" si="37"/>
        <v>0</v>
      </c>
      <c r="BY20" s="6">
        <f>+'[16]extra'!$L$398</f>
        <v>0</v>
      </c>
      <c r="BZ20" s="6">
        <f>+'[16]extra'!$M$398+'[16]extra'!$N$398</f>
        <v>0</v>
      </c>
      <c r="CA20" s="28">
        <f t="shared" si="38"/>
        <v>0</v>
      </c>
      <c r="CB20" s="6">
        <f>+'[16]extra'!$L$411</f>
        <v>0</v>
      </c>
      <c r="CC20" s="6">
        <f>+'[16]extra'!$M$411+'[16]extra'!$N$411</f>
        <v>0</v>
      </c>
      <c r="CD20" s="28">
        <f t="shared" si="39"/>
        <v>0</v>
      </c>
      <c r="CE20" s="6">
        <f>+'[16]extra'!$L$424</f>
        <v>0</v>
      </c>
      <c r="CF20" s="6">
        <f>+'[16]extra'!$M$424+'[16]extra'!$N$424</f>
        <v>0</v>
      </c>
      <c r="CG20" s="28">
        <f t="shared" si="40"/>
        <v>0</v>
      </c>
      <c r="CH20" s="6">
        <f>+'[16]extra'!$L$437</f>
        <v>0</v>
      </c>
      <c r="CI20" s="6">
        <f>+'[16]extra'!$M$437+'[16]extra'!$N$437</f>
        <v>0</v>
      </c>
      <c r="CJ20" s="28">
        <f t="shared" si="41"/>
        <v>0</v>
      </c>
      <c r="CK20" s="28">
        <f aca="true" t="shared" si="42" ref="CK20:CL34">+B20+E20+H20+K20+N20+Q20+T20+W20+Z20+AC20+AF20+AI20+AL20+AO20+AR20+AU20+AX20+BA20+BD20+BG20+BJ20+BM20+BP20+BS20+BV20+BY20+CB20+CE20+CH20</f>
        <v>0</v>
      </c>
      <c r="CL20" s="28">
        <f aca="true" t="shared" si="43" ref="CL20:CL32">+C20+F20+I20+L20+O20+R20+U20+X20+AA20+AD20+AG20+AJ20+AM20+AP20+AS20+AV20+AY20+BB20+BE20+BH20+BK20+BN20+BQ20+BT20+BW20+BZ20+CC20+CF20+CI20</f>
        <v>0</v>
      </c>
      <c r="CM20" s="28">
        <f aca="true" t="shared" si="44" ref="CM20:CM31">+CK20+CL20</f>
        <v>0</v>
      </c>
      <c r="CN20" s="91" t="s">
        <v>70</v>
      </c>
      <c r="CO20" s="88"/>
      <c r="CP20" s="72"/>
    </row>
    <row r="21" spans="1:94" ht="15">
      <c r="A21" s="8" t="s">
        <v>276</v>
      </c>
      <c r="B21" s="6">
        <f>+'[16]extra'!$O$73</f>
        <v>0</v>
      </c>
      <c r="C21" s="6">
        <f>+'[16]extra'!$P$73+'[16]extra'!$Q$73</f>
        <v>0</v>
      </c>
      <c r="D21" s="28">
        <f t="shared" si="13"/>
        <v>0</v>
      </c>
      <c r="E21" s="6">
        <f>+'[16]extra'!$O$86</f>
        <v>0</v>
      </c>
      <c r="F21" s="6">
        <f>+'[16]extra'!$P$86+'[16]extra'!$Q$86</f>
        <v>0</v>
      </c>
      <c r="G21" s="28">
        <f t="shared" si="14"/>
        <v>0</v>
      </c>
      <c r="H21" s="6">
        <f>+'[16]extra'!$O$99</f>
        <v>0</v>
      </c>
      <c r="I21" s="6">
        <f>+'[16]extra'!$P$99+'[16]extra'!$Q$99</f>
        <v>0</v>
      </c>
      <c r="J21" s="28">
        <f t="shared" si="15"/>
        <v>0</v>
      </c>
      <c r="K21" s="6">
        <f>+'[16]extra'!$O$112</f>
        <v>0</v>
      </c>
      <c r="L21" s="6">
        <f>+'[16]extra'!$P$112+'[16]extra'!$Q$112</f>
        <v>0</v>
      </c>
      <c r="M21" s="28">
        <f t="shared" si="16"/>
        <v>0</v>
      </c>
      <c r="N21" s="6">
        <f>+'[16]extra'!$O$125</f>
        <v>0</v>
      </c>
      <c r="O21" s="6">
        <f>+'[16]extra'!$P$125+'[16]extra'!$Q$125</f>
        <v>0</v>
      </c>
      <c r="P21" s="28">
        <f t="shared" si="17"/>
        <v>0</v>
      </c>
      <c r="Q21" s="6">
        <f>+'[16]extra'!$O$138</f>
        <v>0</v>
      </c>
      <c r="R21" s="6">
        <f>+'[16]extra'!$P$138+'[16]extra'!$Q$138</f>
        <v>0</v>
      </c>
      <c r="S21" s="28">
        <f t="shared" si="18"/>
        <v>0</v>
      </c>
      <c r="T21" s="6">
        <f>+'[16]extra'!$O$151</f>
        <v>0</v>
      </c>
      <c r="U21" s="6">
        <f>+'[16]extra'!$P$151+'[16]extra'!$Q$151</f>
        <v>0</v>
      </c>
      <c r="V21" s="28">
        <f t="shared" si="19"/>
        <v>0</v>
      </c>
      <c r="W21" s="6">
        <f>+'[16]extra'!$O$164</f>
        <v>0</v>
      </c>
      <c r="X21" s="6">
        <f>+'[16]extra'!$P$164+'[16]extra'!$Q$164</f>
        <v>0</v>
      </c>
      <c r="Y21" s="28">
        <f t="shared" si="20"/>
        <v>0</v>
      </c>
      <c r="Z21" s="6">
        <f>+'[16]extra'!$O$177</f>
        <v>0</v>
      </c>
      <c r="AA21" s="6">
        <f>+'[16]extra'!$P$177+'[16]extra'!$Q$177</f>
        <v>0</v>
      </c>
      <c r="AB21" s="28">
        <f t="shared" si="21"/>
        <v>0</v>
      </c>
      <c r="AC21" s="6">
        <f>+'[16]extra'!$O$190</f>
        <v>0</v>
      </c>
      <c r="AD21" s="6">
        <f>+'[16]extra'!$P$190+'[16]extra'!$Q$190</f>
        <v>0</v>
      </c>
      <c r="AE21" s="28">
        <f t="shared" si="22"/>
        <v>0</v>
      </c>
      <c r="AF21" s="6">
        <f>+'[16]extra'!$O$203</f>
        <v>0</v>
      </c>
      <c r="AG21" s="6">
        <f>+'[16]extra'!$P$203+'[16]extra'!$Q$203</f>
        <v>0</v>
      </c>
      <c r="AH21" s="28">
        <f t="shared" si="23"/>
        <v>0</v>
      </c>
      <c r="AI21" s="6">
        <f>+'[16]extra'!$O$216</f>
        <v>0</v>
      </c>
      <c r="AJ21" s="6">
        <f>+'[16]extra'!$P$216+'[16]extra'!$Q$216</f>
        <v>0</v>
      </c>
      <c r="AK21" s="28">
        <f t="shared" si="24"/>
        <v>0</v>
      </c>
      <c r="AL21" s="6">
        <f>+'[16]extra'!$O$229</f>
        <v>0</v>
      </c>
      <c r="AM21" s="6">
        <f>+'[16]extra'!$P$229+'[16]extra'!$Q$229</f>
        <v>0</v>
      </c>
      <c r="AN21" s="28">
        <f t="shared" si="25"/>
        <v>0</v>
      </c>
      <c r="AO21" s="6">
        <f>+'[16]extra'!$O$242</f>
        <v>0</v>
      </c>
      <c r="AP21" s="6">
        <f>+'[16]extra'!$P$242+'[16]extra'!$Q$242</f>
        <v>0</v>
      </c>
      <c r="AQ21" s="28">
        <f t="shared" si="26"/>
        <v>0</v>
      </c>
      <c r="AR21" s="6">
        <f>+'[16]extra'!$O$255</f>
        <v>0</v>
      </c>
      <c r="AS21" s="6">
        <f>+'[16]extra'!$P$255+'[16]extra'!$Q$255</f>
        <v>0</v>
      </c>
      <c r="AT21" s="28">
        <f t="shared" si="27"/>
        <v>0</v>
      </c>
      <c r="AU21" s="6">
        <f>+'[16]extra'!$O$268</f>
        <v>0</v>
      </c>
      <c r="AV21" s="6">
        <f>+'[16]extra'!$P$268+'[16]extra'!$Q$268</f>
        <v>0</v>
      </c>
      <c r="AW21" s="28">
        <f t="shared" si="28"/>
        <v>0</v>
      </c>
      <c r="AX21" s="6">
        <f>+'[16]extra'!$O$281</f>
        <v>0</v>
      </c>
      <c r="AY21" s="6">
        <f>+'[16]extra'!$P$281+'[16]extra'!$Q$281</f>
        <v>0</v>
      </c>
      <c r="AZ21" s="28">
        <f t="shared" si="29"/>
        <v>0</v>
      </c>
      <c r="BA21" s="6">
        <f>+'[16]extra'!$O$294</f>
        <v>0</v>
      </c>
      <c r="BB21" s="6">
        <f>+'[16]extra'!$P$294+'[16]extra'!$Q$294</f>
        <v>0</v>
      </c>
      <c r="BC21" s="28">
        <f t="shared" si="30"/>
        <v>0</v>
      </c>
      <c r="BD21" s="6">
        <f>+'[16]extra'!$O$307</f>
        <v>0</v>
      </c>
      <c r="BE21" s="6">
        <f>+'[16]extra'!$P$307+'[16]extra'!$Q$307</f>
        <v>0</v>
      </c>
      <c r="BF21" s="28">
        <f t="shared" si="31"/>
        <v>0</v>
      </c>
      <c r="BG21" s="6">
        <f>+'[16]extra'!$O$320</f>
        <v>0</v>
      </c>
      <c r="BH21" s="6">
        <f>+'[16]extra'!$P$320+'[16]extra'!$Q$320</f>
        <v>0</v>
      </c>
      <c r="BI21" s="28">
        <f t="shared" si="32"/>
        <v>0</v>
      </c>
      <c r="BJ21" s="6">
        <f>+'[16]extra'!$O$333</f>
        <v>0</v>
      </c>
      <c r="BK21" s="6">
        <f>+'[16]extra'!$P$333+'[16]extra'!$Q$333</f>
        <v>0</v>
      </c>
      <c r="BL21" s="28">
        <f t="shared" si="33"/>
        <v>0</v>
      </c>
      <c r="BM21" s="6">
        <f>+'[16]extra'!$O$346</f>
        <v>0</v>
      </c>
      <c r="BN21" s="6">
        <f>+'[16]extra'!$P$346+'[16]extra'!$Q$346</f>
        <v>0</v>
      </c>
      <c r="BO21" s="28">
        <f t="shared" si="34"/>
        <v>0</v>
      </c>
      <c r="BP21" s="6">
        <f>+'[16]extra'!$O$359</f>
        <v>0</v>
      </c>
      <c r="BQ21" s="6">
        <f>+'[16]extra'!$P$359+'[16]extra'!$Q$359</f>
        <v>0</v>
      </c>
      <c r="BR21" s="28">
        <f t="shared" si="35"/>
        <v>0</v>
      </c>
      <c r="BS21" s="6">
        <f>+'[16]extra'!$O$372</f>
        <v>0</v>
      </c>
      <c r="BT21" s="6">
        <f>+'[16]extra'!$P$372+'[16]extra'!$Q$372</f>
        <v>0</v>
      </c>
      <c r="BU21" s="28">
        <f t="shared" si="36"/>
        <v>0</v>
      </c>
      <c r="BV21" s="6">
        <f>+'[16]extra'!$O$385</f>
        <v>0</v>
      </c>
      <c r="BW21" s="6">
        <f>+'[16]extra'!$P$385+'[16]extra'!$Q$385</f>
        <v>0</v>
      </c>
      <c r="BX21" s="28">
        <f t="shared" si="37"/>
        <v>0</v>
      </c>
      <c r="BY21" s="6">
        <f>+'[16]extra'!$O$398</f>
        <v>0</v>
      </c>
      <c r="BZ21" s="6">
        <f>+'[16]extra'!$P$398+'[16]extra'!$Q$398</f>
        <v>0</v>
      </c>
      <c r="CA21" s="28">
        <f t="shared" si="38"/>
        <v>0</v>
      </c>
      <c r="CB21" s="6">
        <f>+'[16]extra'!$O$411</f>
        <v>0</v>
      </c>
      <c r="CC21" s="6">
        <f>+'[16]extra'!$P$411+'[16]extra'!$Q$411</f>
        <v>0</v>
      </c>
      <c r="CD21" s="28">
        <f t="shared" si="39"/>
        <v>0</v>
      </c>
      <c r="CE21" s="6">
        <f>+'[16]extra'!$O$424</f>
        <v>0</v>
      </c>
      <c r="CF21" s="6">
        <f>+'[16]extra'!$P$424+'[16]extra'!$Q$424</f>
        <v>0</v>
      </c>
      <c r="CG21" s="28">
        <f t="shared" si="40"/>
        <v>0</v>
      </c>
      <c r="CH21" s="6">
        <f>+'[16]extra'!$O$437</f>
        <v>0</v>
      </c>
      <c r="CI21" s="6">
        <f>+'[16]extra'!$P$437+'[16]extra'!$Q$437</f>
        <v>0</v>
      </c>
      <c r="CJ21" s="28">
        <f t="shared" si="41"/>
        <v>0</v>
      </c>
      <c r="CK21" s="28">
        <f t="shared" si="42"/>
        <v>0</v>
      </c>
      <c r="CL21" s="28">
        <f t="shared" si="43"/>
        <v>0</v>
      </c>
      <c r="CM21" s="28">
        <f t="shared" si="44"/>
        <v>0</v>
      </c>
      <c r="CN21" s="91" t="s">
        <v>71</v>
      </c>
      <c r="CO21" s="88"/>
      <c r="CP21" s="72"/>
    </row>
    <row r="22" spans="1:94" ht="15">
      <c r="A22" s="8" t="s">
        <v>278</v>
      </c>
      <c r="B22" s="6">
        <f>+'[16]extra'!$AP$73</f>
        <v>49500934.08237</v>
      </c>
      <c r="C22" s="6">
        <f>+'[16]extra'!$AQ$73+'[16]extra'!$AR$73</f>
        <v>302963812.578622</v>
      </c>
      <c r="D22" s="28">
        <f t="shared" si="13"/>
        <v>352464746.66099197</v>
      </c>
      <c r="E22" s="6">
        <f>+'[16]extra'!$AP$86</f>
        <v>104229733.28846075</v>
      </c>
      <c r="F22" s="6">
        <f>+'[16]extra'!$AQ$86+'[16]extra'!$AR$86</f>
        <v>319257013.7472242</v>
      </c>
      <c r="G22" s="28">
        <f t="shared" si="14"/>
        <v>423486747.03568494</v>
      </c>
      <c r="H22" s="6">
        <f>+'[16]extra'!$AP$99</f>
        <v>190042445.41712627</v>
      </c>
      <c r="I22" s="6">
        <f>+'[16]extra'!$AQ$99+'[16]extra'!$AR$99</f>
        <v>304572115.2713257</v>
      </c>
      <c r="J22" s="28">
        <f t="shared" si="15"/>
        <v>494614560.688452</v>
      </c>
      <c r="K22" s="6">
        <f>+'[16]extra'!$AP$112</f>
        <v>265367012.37401217</v>
      </c>
      <c r="L22" s="6">
        <f>+'[16]extra'!$AQ$112+'[16]extra'!$AR$112</f>
        <v>289847424.9309778</v>
      </c>
      <c r="M22" s="28">
        <f t="shared" si="16"/>
        <v>555214437.30499</v>
      </c>
      <c r="N22" s="6">
        <f>+'[16]extra'!$AP$125</f>
        <v>347146687.15597004</v>
      </c>
      <c r="O22" s="6">
        <f>+'[16]extra'!$AQ$125+'[16]extra'!$AR$125</f>
        <v>277044073.03403</v>
      </c>
      <c r="P22" s="28">
        <f t="shared" si="17"/>
        <v>624190760.19</v>
      </c>
      <c r="Q22" s="6">
        <f>+'[16]extra'!$AP$138</f>
        <v>359602935.4627748</v>
      </c>
      <c r="R22" s="6">
        <f>+'[16]extra'!$AQ$138+'[16]extra'!$AR$138</f>
        <v>263057749.01722515</v>
      </c>
      <c r="S22" s="28">
        <f t="shared" si="18"/>
        <v>622660684.48</v>
      </c>
      <c r="T22" s="6">
        <f>+'[16]extra'!$AP$151</f>
        <v>372956967.59315604</v>
      </c>
      <c r="U22" s="6">
        <f>+'[16]extra'!$AQ$151+'[16]extra'!$AR$151</f>
        <v>249739724.58684394</v>
      </c>
      <c r="V22" s="28">
        <f t="shared" si="19"/>
        <v>622696692.18</v>
      </c>
      <c r="W22" s="6">
        <f>+'[16]extra'!$AP$164</f>
        <v>387283886.95</v>
      </c>
      <c r="X22" s="6">
        <f>+'[16]extra'!$AQ$164+'[16]extra'!$AR$164</f>
        <v>235770471.25</v>
      </c>
      <c r="Y22" s="28">
        <f t="shared" si="20"/>
        <v>623054358.2</v>
      </c>
      <c r="Z22" s="6">
        <f>+'[16]extra'!$AP$177</f>
        <v>402665482.15000004</v>
      </c>
      <c r="AA22" s="6">
        <f>+'[16]extra'!$AQ$177+'[16]extra'!$AR$177</f>
        <v>221838241.77</v>
      </c>
      <c r="AB22" s="28">
        <f t="shared" si="21"/>
        <v>624503723.9200001</v>
      </c>
      <c r="AC22" s="6">
        <f>+'[16]extra'!$AP$190</f>
        <v>419190524.65999997</v>
      </c>
      <c r="AD22" s="6">
        <f>+'[16]extra'!$AQ$190+'[16]extra'!$AR$190</f>
        <v>206417488.85</v>
      </c>
      <c r="AE22" s="28">
        <f t="shared" si="22"/>
        <v>625608013.51</v>
      </c>
      <c r="AF22" s="6">
        <f>+'[16]extra'!$AP$203</f>
        <v>436956105.00000006</v>
      </c>
      <c r="AG22" s="6">
        <f>+'[16]extra'!$AQ$203+'[16]extra'!$AR$203</f>
        <v>190983129.14</v>
      </c>
      <c r="AH22" s="28">
        <f t="shared" si="23"/>
        <v>627939234.1400001</v>
      </c>
      <c r="AI22" s="6">
        <f>+'[16]extra'!$AP$216</f>
        <v>456066472.37</v>
      </c>
      <c r="AJ22" s="6">
        <f>+'[16]extra'!$AQ$216+'[16]extra'!$AR$216</f>
        <v>175032633.48</v>
      </c>
      <c r="AK22" s="28">
        <f t="shared" si="24"/>
        <v>631099105.85</v>
      </c>
      <c r="AL22" s="6">
        <f>+'[16]extra'!$AP$229</f>
        <v>476636507.9800001</v>
      </c>
      <c r="AM22" s="6">
        <f>+'[16]extra'!$AQ$229+'[16]extra'!$AR$229</f>
        <v>159324446.14000002</v>
      </c>
      <c r="AN22" s="28">
        <f t="shared" si="25"/>
        <v>635960954.1200001</v>
      </c>
      <c r="AO22" s="6">
        <f>+'[16]extra'!$AP$242</f>
        <v>498789775.07</v>
      </c>
      <c r="AP22" s="6">
        <f>+'[16]extra'!$AQ$242+'[16]extra'!$AR$242</f>
        <v>141665355.78</v>
      </c>
      <c r="AQ22" s="28">
        <f t="shared" si="26"/>
        <v>640455130.85</v>
      </c>
      <c r="AR22" s="6">
        <f>+'[16]extra'!$AP$255</f>
        <v>522658897.43</v>
      </c>
      <c r="AS22" s="6">
        <f>+'[16]extra'!$AQ$255+'[16]extra'!$AR$255</f>
        <v>124068823.48000002</v>
      </c>
      <c r="AT22" s="28">
        <f t="shared" si="27"/>
        <v>646727720.9100001</v>
      </c>
      <c r="AU22" s="6">
        <f>+'[16]extra'!$AP$268</f>
        <v>548390613.04</v>
      </c>
      <c r="AV22" s="6">
        <f>+'[16]extra'!$AQ$268+'[16]extra'!$AR$268</f>
        <v>105768590.38</v>
      </c>
      <c r="AW22" s="28">
        <f t="shared" si="28"/>
        <v>654159203.42</v>
      </c>
      <c r="AX22" s="6">
        <f>+'[16]extra'!$AP$281</f>
        <v>576143566.41</v>
      </c>
      <c r="AY22" s="6">
        <f>+'[16]extra'!$AQ$281+'[16]extra'!$AR$281</f>
        <v>86790790.19</v>
      </c>
      <c r="AZ22" s="28">
        <f t="shared" si="29"/>
        <v>662934356.5999999</v>
      </c>
      <c r="BA22" s="6">
        <f>+'[16]extra'!$AP$294</f>
        <v>606090843.6700001</v>
      </c>
      <c r="BB22" s="6">
        <f>+'[16]extra'!$AQ$294+'[16]extra'!$AR$294</f>
        <v>66665735.7</v>
      </c>
      <c r="BC22" s="28">
        <f t="shared" si="30"/>
        <v>672756579.3700001</v>
      </c>
      <c r="BD22" s="6">
        <f>+'[16]extra'!$AP$307</f>
        <v>638417646.2099999</v>
      </c>
      <c r="BE22" s="6">
        <f>+'[16]extra'!$AQ$307+'[16]extra'!$AR$307</f>
        <v>45799463.260000005</v>
      </c>
      <c r="BF22" s="28">
        <f t="shared" si="31"/>
        <v>684217109.4699999</v>
      </c>
      <c r="BG22" s="6">
        <f>+'[16]extra'!$AP$320</f>
        <v>673326339.3399999</v>
      </c>
      <c r="BH22" s="6">
        <f>+'[16]extra'!$AQ$320+'[16]extra'!$AR$320</f>
        <v>23950135.65</v>
      </c>
      <c r="BI22" s="28">
        <f t="shared" si="32"/>
        <v>697276474.9899999</v>
      </c>
      <c r="BJ22" s="6">
        <f>+'[16]extra'!$AP$333</f>
        <v>384920805.26</v>
      </c>
      <c r="BK22" s="6">
        <f>+'[16]extra'!$AQ$333+'[16]extra'!$AR$333</f>
        <v>3592425.54</v>
      </c>
      <c r="BL22" s="28">
        <f t="shared" si="33"/>
        <v>388513230.8</v>
      </c>
      <c r="BM22" s="6">
        <f>+'[16]extra'!$AP$346</f>
        <v>0</v>
      </c>
      <c r="BN22" s="6">
        <f>+'[16]extra'!$AQ$346+'[16]extra'!$AR$346</f>
        <v>0</v>
      </c>
      <c r="BO22" s="28">
        <f t="shared" si="34"/>
        <v>0</v>
      </c>
      <c r="BP22" s="6">
        <f>+'[16]extra'!$AP$359</f>
        <v>0</v>
      </c>
      <c r="BQ22" s="6">
        <f>+'[16]extra'!$AQ$359+'[16]extra'!$AR$359</f>
        <v>0</v>
      </c>
      <c r="BR22" s="28">
        <f t="shared" si="35"/>
        <v>0</v>
      </c>
      <c r="BS22" s="6">
        <f>+'[16]extra'!$AP$372</f>
        <v>0</v>
      </c>
      <c r="BT22" s="6">
        <f>+'[16]extra'!$AQ$372+'[16]extra'!$AR$372</f>
        <v>0</v>
      </c>
      <c r="BU22" s="28">
        <f t="shared" si="36"/>
        <v>0</v>
      </c>
      <c r="BV22" s="6">
        <f>+'[16]extra'!$AP$385</f>
        <v>0</v>
      </c>
      <c r="BW22" s="6">
        <f>+'[16]extra'!$AQ$385+'[16]extra'!$AR$385</f>
        <v>0</v>
      </c>
      <c r="BX22" s="28">
        <f t="shared" si="37"/>
        <v>0</v>
      </c>
      <c r="BY22" s="6">
        <f>+'[16]extra'!$AP$398</f>
        <v>0</v>
      </c>
      <c r="BZ22" s="6">
        <f>+'[16]extra'!$AQ$398+'[16]extra'!$AR$398</f>
        <v>0</v>
      </c>
      <c r="CA22" s="28">
        <f t="shared" si="38"/>
        <v>0</v>
      </c>
      <c r="CB22" s="6">
        <f>+'[16]extra'!$AP$411</f>
        <v>0</v>
      </c>
      <c r="CC22" s="6">
        <f>+'[16]extra'!$AQ$411+'[16]extra'!$AR$411</f>
        <v>0</v>
      </c>
      <c r="CD22" s="28">
        <f t="shared" si="39"/>
        <v>0</v>
      </c>
      <c r="CE22" s="6">
        <f>+'[16]extra'!$AP$424</f>
        <v>0</v>
      </c>
      <c r="CF22" s="6">
        <f>+'[16]extra'!$AQ$424+'[16]extra'!$AR$424</f>
        <v>0</v>
      </c>
      <c r="CG22" s="28">
        <f t="shared" si="40"/>
        <v>0</v>
      </c>
      <c r="CH22" s="6">
        <f>+'[16]extra'!$AP$437</f>
        <v>0</v>
      </c>
      <c r="CI22" s="6">
        <f>+'[16]extra'!$AQ$437+'[16]extra'!$AR$437</f>
        <v>0</v>
      </c>
      <c r="CJ22" s="28">
        <f t="shared" si="41"/>
        <v>0</v>
      </c>
      <c r="CK22" s="28">
        <f t="shared" si="42"/>
        <v>8716384180.91387</v>
      </c>
      <c r="CL22" s="28">
        <f t="shared" si="43"/>
        <v>3794149643.776249</v>
      </c>
      <c r="CM22" s="28">
        <f t="shared" si="44"/>
        <v>12510533824.690119</v>
      </c>
      <c r="CN22" s="91" t="s">
        <v>146</v>
      </c>
      <c r="CO22" s="88"/>
      <c r="CP22" s="72"/>
    </row>
    <row r="23" spans="1:94" ht="15">
      <c r="A23" s="8" t="s">
        <v>277</v>
      </c>
      <c r="B23" s="6">
        <f>+'[16]extra'!$R$73</f>
        <v>2214026.269674</v>
      </c>
      <c r="C23" s="6">
        <f>+'[16]extra'!$S$73+'[16]extra'!$T$73</f>
        <v>13051843.03</v>
      </c>
      <c r="D23" s="28">
        <f t="shared" si="13"/>
        <v>15265869.299673999</v>
      </c>
      <c r="E23" s="6">
        <f>+'[16]extra'!$R$86</f>
        <v>6721116.523361</v>
      </c>
      <c r="F23" s="6">
        <f>+'[16]extra'!$S$86+'[16]extra'!$T$86</f>
        <v>12120146.919999998</v>
      </c>
      <c r="G23" s="28">
        <f t="shared" si="14"/>
        <v>18841263.443361</v>
      </c>
      <c r="H23" s="6">
        <f>+'[16]extra'!$R$99</f>
        <v>11480369.575315997</v>
      </c>
      <c r="I23" s="6">
        <f>+'[16]extra'!$S$99+'[16]extra'!$T$99</f>
        <v>11055568.4</v>
      </c>
      <c r="J23" s="28">
        <f t="shared" si="15"/>
        <v>22535937.975315996</v>
      </c>
      <c r="K23" s="6">
        <f>+'[16]extra'!$R$112</f>
        <v>16500320.808929998</v>
      </c>
      <c r="L23" s="6">
        <f>+'[16]extra'!$S$112+'[16]extra'!$T$112</f>
        <v>9837515.620000001</v>
      </c>
      <c r="M23" s="28">
        <f t="shared" si="16"/>
        <v>26337836.42893</v>
      </c>
      <c r="N23" s="6">
        <f>+'[16]extra'!$R$125</f>
        <v>22835374.97</v>
      </c>
      <c r="O23" s="6">
        <f>+'[16]extra'!$S$125+'[16]extra'!$T$125</f>
        <v>8450629.03</v>
      </c>
      <c r="P23" s="28">
        <f t="shared" si="17"/>
        <v>31286004</v>
      </c>
      <c r="Q23" s="6">
        <f>+'[16]extra'!$R$138</f>
        <v>24891649.070000004</v>
      </c>
      <c r="R23" s="6">
        <f>+'[16]extra'!$S$138+'[16]extra'!$T$138</f>
        <v>6878124.91</v>
      </c>
      <c r="S23" s="28">
        <f t="shared" si="18"/>
        <v>31769773.980000004</v>
      </c>
      <c r="T23" s="6">
        <f>+'[16]extra'!$R$151</f>
        <v>27086493.560000002</v>
      </c>
      <c r="U23" s="6">
        <f>+'[16]extra'!$S$151+'[16]extra'!$T$151</f>
        <v>5101801.750000001</v>
      </c>
      <c r="V23" s="28">
        <f t="shared" si="19"/>
        <v>32188295.310000002</v>
      </c>
      <c r="W23" s="6">
        <f>+'[16]extra'!$R$164</f>
        <v>26088302.82</v>
      </c>
      <c r="X23" s="6">
        <f>+'[16]extra'!$S$164+'[16]extra'!$T$164</f>
        <v>3180520.2</v>
      </c>
      <c r="Y23" s="28">
        <f t="shared" si="20"/>
        <v>29268823.02</v>
      </c>
      <c r="Z23" s="6">
        <f>+'[16]extra'!$R$177</f>
        <v>12042598.6</v>
      </c>
      <c r="AA23" s="6">
        <f>+'[16]extra'!$S$177+'[16]extra'!$T$177</f>
        <v>1627110</v>
      </c>
      <c r="AB23" s="28">
        <f t="shared" si="21"/>
        <v>13669708.6</v>
      </c>
      <c r="AC23" s="6">
        <f>+'[16]extra'!$R$190</f>
        <v>8109857.300000001</v>
      </c>
      <c r="AD23" s="6">
        <f>+'[16]extra'!$S$190+'[16]extra'!$T$190</f>
        <v>908696.24</v>
      </c>
      <c r="AE23" s="28">
        <f t="shared" si="22"/>
        <v>9018553.540000001</v>
      </c>
      <c r="AF23" s="6">
        <f>+'[16]extra'!$R$203</f>
        <v>5808337.24</v>
      </c>
      <c r="AG23" s="6">
        <f>+'[16]extra'!$S$203+'[16]extra'!$T$203</f>
        <v>196659.38</v>
      </c>
      <c r="AH23" s="28">
        <f t="shared" si="23"/>
        <v>6004996.62</v>
      </c>
      <c r="AI23" s="6">
        <f>+'[16]extra'!$R$216</f>
        <v>0</v>
      </c>
      <c r="AJ23" s="6">
        <f>+'[16]extra'!$S$216+'[16]extra'!$T$216</f>
        <v>0</v>
      </c>
      <c r="AK23" s="28">
        <f t="shared" si="24"/>
        <v>0</v>
      </c>
      <c r="AL23" s="6">
        <f>+'[16]extra'!$R$229</f>
        <v>0</v>
      </c>
      <c r="AM23" s="6">
        <f>+'[16]extra'!$S$229+'[16]extra'!$T$229</f>
        <v>0</v>
      </c>
      <c r="AN23" s="28">
        <f t="shared" si="25"/>
        <v>0</v>
      </c>
      <c r="AO23" s="6">
        <f>+'[16]extra'!$R$242</f>
        <v>0</v>
      </c>
      <c r="AP23" s="6">
        <f>+'[16]extra'!$S$242+'[16]extra'!$T$242</f>
        <v>0</v>
      </c>
      <c r="AQ23" s="28">
        <f t="shared" si="26"/>
        <v>0</v>
      </c>
      <c r="AR23" s="6">
        <f>+'[16]extra'!$R$255</f>
        <v>0</v>
      </c>
      <c r="AS23" s="6">
        <f>+'[16]extra'!$S$255+'[16]extra'!$T$255</f>
        <v>0</v>
      </c>
      <c r="AT23" s="28">
        <f t="shared" si="27"/>
        <v>0</v>
      </c>
      <c r="AU23" s="6">
        <f>+'[16]extra'!$R$268</f>
        <v>0</v>
      </c>
      <c r="AV23" s="6">
        <f>+'[16]extra'!$S$268+'[16]extra'!$T$268</f>
        <v>0</v>
      </c>
      <c r="AW23" s="28">
        <f t="shared" si="28"/>
        <v>0</v>
      </c>
      <c r="AX23" s="6">
        <f>+'[16]extra'!$R$281</f>
        <v>0</v>
      </c>
      <c r="AY23" s="6">
        <f>+'[16]extra'!$S$281+'[16]extra'!$T$281</f>
        <v>0</v>
      </c>
      <c r="AZ23" s="28">
        <f t="shared" si="29"/>
        <v>0</v>
      </c>
      <c r="BA23" s="6">
        <f>+'[16]extra'!$R$294</f>
        <v>0</v>
      </c>
      <c r="BB23" s="6">
        <f>+'[16]extra'!$S$294+'[16]extra'!$T$294</f>
        <v>0</v>
      </c>
      <c r="BC23" s="28">
        <f t="shared" si="30"/>
        <v>0</v>
      </c>
      <c r="BD23" s="6">
        <f>+'[16]extra'!$R$307</f>
        <v>0</v>
      </c>
      <c r="BE23" s="6">
        <f>+'[16]extra'!$S$307+'[16]extra'!$T$307</f>
        <v>0</v>
      </c>
      <c r="BF23" s="28">
        <f t="shared" si="31"/>
        <v>0</v>
      </c>
      <c r="BG23" s="6">
        <f>+'[16]extra'!$R$320</f>
        <v>0</v>
      </c>
      <c r="BH23" s="6">
        <f>+'[16]extra'!$S$320+'[16]extra'!$T$320</f>
        <v>0</v>
      </c>
      <c r="BI23" s="28">
        <f t="shared" si="32"/>
        <v>0</v>
      </c>
      <c r="BJ23" s="6">
        <f>+'[16]extra'!$R$333</f>
        <v>0</v>
      </c>
      <c r="BK23" s="6">
        <f>+'[16]extra'!$S$333+'[16]extra'!$T$333</f>
        <v>0</v>
      </c>
      <c r="BL23" s="28">
        <f t="shared" si="33"/>
        <v>0</v>
      </c>
      <c r="BM23" s="6">
        <f>+'[16]extra'!$R$346</f>
        <v>0</v>
      </c>
      <c r="BN23" s="6">
        <f>+'[16]extra'!$S$346+'[16]extra'!$T$346</f>
        <v>0</v>
      </c>
      <c r="BO23" s="28">
        <f t="shared" si="34"/>
        <v>0</v>
      </c>
      <c r="BP23" s="6">
        <f>+'[16]extra'!$R$359</f>
        <v>0</v>
      </c>
      <c r="BQ23" s="6">
        <f>+'[16]extra'!$S$359+'[16]extra'!$T$359</f>
        <v>0</v>
      </c>
      <c r="BR23" s="28">
        <f t="shared" si="35"/>
        <v>0</v>
      </c>
      <c r="BS23" s="6">
        <f>+'[16]extra'!$R$372</f>
        <v>0</v>
      </c>
      <c r="BT23" s="6">
        <f>+'[16]extra'!$S$372+'[16]extra'!$T$372</f>
        <v>0</v>
      </c>
      <c r="BU23" s="28">
        <f t="shared" si="36"/>
        <v>0</v>
      </c>
      <c r="BV23" s="6">
        <f>+'[16]extra'!$R$385</f>
        <v>0</v>
      </c>
      <c r="BW23" s="6">
        <f>+'[16]extra'!$S$385+'[16]extra'!$T$385</f>
        <v>0</v>
      </c>
      <c r="BX23" s="28">
        <f t="shared" si="37"/>
        <v>0</v>
      </c>
      <c r="BY23" s="6">
        <f>+'[16]extra'!$R$398</f>
        <v>0</v>
      </c>
      <c r="BZ23" s="6">
        <f>+'[16]extra'!$S$398+'[16]extra'!$T$398</f>
        <v>0</v>
      </c>
      <c r="CA23" s="28">
        <f t="shared" si="38"/>
        <v>0</v>
      </c>
      <c r="CB23" s="6">
        <f>+'[16]extra'!$R$411</f>
        <v>0</v>
      </c>
      <c r="CC23" s="6">
        <f>+'[16]extra'!$S$411+'[16]extra'!$T$411</f>
        <v>0</v>
      </c>
      <c r="CD23" s="28">
        <f t="shared" si="39"/>
        <v>0</v>
      </c>
      <c r="CE23" s="6">
        <f>+'[16]extra'!$R$424</f>
        <v>0</v>
      </c>
      <c r="CF23" s="6">
        <f>+'[16]extra'!$S$424+'[16]extra'!$T$424</f>
        <v>0</v>
      </c>
      <c r="CG23" s="28">
        <f t="shared" si="40"/>
        <v>0</v>
      </c>
      <c r="CH23" s="6">
        <f>+'[16]extra'!$R$437</f>
        <v>0</v>
      </c>
      <c r="CI23" s="6">
        <f>+'[16]extra'!$S$437+'[16]extra'!$T$437</f>
        <v>0</v>
      </c>
      <c r="CJ23" s="28">
        <f t="shared" si="41"/>
        <v>0</v>
      </c>
      <c r="CK23" s="28">
        <f t="shared" si="42"/>
        <v>163778446.73728102</v>
      </c>
      <c r="CL23" s="28">
        <f t="shared" si="43"/>
        <v>72408615.47999999</v>
      </c>
      <c r="CM23" s="28">
        <f t="shared" si="44"/>
        <v>236187062.217281</v>
      </c>
      <c r="CN23" s="91" t="s">
        <v>58</v>
      </c>
      <c r="CO23" s="88"/>
      <c r="CP23" s="72"/>
    </row>
    <row r="24" spans="1:94" ht="15">
      <c r="A24" s="8" t="s">
        <v>281</v>
      </c>
      <c r="B24" s="6">
        <f>+'[16]extra'!$U$73</f>
        <v>15742455.092522</v>
      </c>
      <c r="C24" s="6">
        <f>+'[16]extra'!$V$73+'[16]extra'!$W$73</f>
        <v>73278817.84000002</v>
      </c>
      <c r="D24" s="28">
        <f t="shared" si="13"/>
        <v>89021272.93252201</v>
      </c>
      <c r="E24" s="6">
        <f>+'[16]extra'!$U$86</f>
        <v>42650495.64068399</v>
      </c>
      <c r="F24" s="6">
        <f>+'[16]extra'!$V$86+'[16]extra'!$W$86</f>
        <v>68848175.36999999</v>
      </c>
      <c r="G24" s="28">
        <f t="shared" si="14"/>
        <v>111498671.01068398</v>
      </c>
      <c r="H24" s="6">
        <f>+'[16]extra'!$U$99</f>
        <v>71940966.47399598</v>
      </c>
      <c r="I24" s="6">
        <f>+'[16]extra'!$V$99+'[16]extra'!$W$99</f>
        <v>63711747.18999999</v>
      </c>
      <c r="J24" s="28">
        <f t="shared" si="15"/>
        <v>135652713.66399598</v>
      </c>
      <c r="K24" s="6">
        <f>+'[16]extra'!$U$112</f>
        <v>103763973.59758498</v>
      </c>
      <c r="L24" s="6">
        <f>+'[16]extra'!$V$112+'[16]extra'!$W$112</f>
        <v>57599000.42</v>
      </c>
      <c r="M24" s="28">
        <f t="shared" si="16"/>
        <v>161362974.01758498</v>
      </c>
      <c r="N24" s="6">
        <f>+'[16]extra'!$U$125</f>
        <v>144749990.56</v>
      </c>
      <c r="O24" s="6">
        <f>+'[16]extra'!$V$125+'[16]extra'!$W$125</f>
        <v>50362208.510000005</v>
      </c>
      <c r="P24" s="28">
        <f t="shared" si="17"/>
        <v>195112199.07</v>
      </c>
      <c r="Q24" s="6">
        <f>+'[16]extra'!$U$138</f>
        <v>159873109.17000002</v>
      </c>
      <c r="R24" s="6">
        <f>+'[16]extra'!$V$138+'[16]extra'!$W$138</f>
        <v>41896800.41</v>
      </c>
      <c r="S24" s="28">
        <f t="shared" si="18"/>
        <v>201769909.58</v>
      </c>
      <c r="T24" s="6">
        <f>+'[16]extra'!$U$151</f>
        <v>176576268.9</v>
      </c>
      <c r="U24" s="6">
        <f>+'[16]extra'!$V$151+'[16]extra'!$W$151</f>
        <v>32078548.060000002</v>
      </c>
      <c r="V24" s="28">
        <f t="shared" si="19"/>
        <v>208654816.96</v>
      </c>
      <c r="W24" s="6">
        <f>+'[16]extra'!$U$164</f>
        <v>195024510.14</v>
      </c>
      <c r="X24" s="6">
        <f>+'[16]extra'!$V$164+'[16]extra'!$W$164</f>
        <v>20750118.11</v>
      </c>
      <c r="Y24" s="28">
        <f t="shared" si="20"/>
        <v>215774628.25</v>
      </c>
      <c r="Z24" s="6">
        <f>+'[16]extra'!$U$177</f>
        <v>215400128.26</v>
      </c>
      <c r="AA24" s="6">
        <f>+'[16]extra'!$V$177+'[16]extra'!$W$177</f>
        <v>7737205.920000001</v>
      </c>
      <c r="AB24" s="28">
        <f t="shared" si="21"/>
        <v>223137334.17999998</v>
      </c>
      <c r="AC24" s="6">
        <f>+'[16]extra'!$U$190</f>
        <v>0</v>
      </c>
      <c r="AD24" s="6">
        <f>+'[16]extra'!$V$190+'[16]extra'!$W$190</f>
        <v>0</v>
      </c>
      <c r="AE24" s="28">
        <f t="shared" si="22"/>
        <v>0</v>
      </c>
      <c r="AF24" s="6">
        <f>+'[16]extra'!$U$203</f>
        <v>0</v>
      </c>
      <c r="AG24" s="6">
        <f>+'[16]extra'!$V$203+'[16]extra'!$W$203</f>
        <v>0</v>
      </c>
      <c r="AH24" s="28">
        <f t="shared" si="23"/>
        <v>0</v>
      </c>
      <c r="AI24" s="6">
        <f>+'[16]extra'!$U$216</f>
        <v>0</v>
      </c>
      <c r="AJ24" s="6">
        <f>+'[16]extra'!$V$216+'[16]extra'!$W$216</f>
        <v>0</v>
      </c>
      <c r="AK24" s="28">
        <f t="shared" si="24"/>
        <v>0</v>
      </c>
      <c r="AL24" s="6">
        <f>+'[16]extra'!$U$229</f>
        <v>0</v>
      </c>
      <c r="AM24" s="6">
        <f>+'[16]extra'!$V$229+'[16]extra'!$W$229</f>
        <v>0</v>
      </c>
      <c r="AN24" s="28">
        <f t="shared" si="25"/>
        <v>0</v>
      </c>
      <c r="AO24" s="6">
        <f>+'[16]extra'!$U$242</f>
        <v>0</v>
      </c>
      <c r="AP24" s="6">
        <f>+'[16]extra'!$V$242+'[16]extra'!$W$242</f>
        <v>0</v>
      </c>
      <c r="AQ24" s="28">
        <f t="shared" si="26"/>
        <v>0</v>
      </c>
      <c r="AR24" s="6">
        <f>+'[16]extra'!$U$255</f>
        <v>0</v>
      </c>
      <c r="AS24" s="6">
        <f>+'[16]extra'!$V$255+'[16]extra'!$W$255</f>
        <v>0</v>
      </c>
      <c r="AT24" s="28">
        <f t="shared" si="27"/>
        <v>0</v>
      </c>
      <c r="AU24" s="6">
        <f>+'[16]extra'!$U$268</f>
        <v>0</v>
      </c>
      <c r="AV24" s="6">
        <f>+'[16]extra'!$V$268+'[16]extra'!$W$268</f>
        <v>0</v>
      </c>
      <c r="AW24" s="28">
        <f t="shared" si="28"/>
        <v>0</v>
      </c>
      <c r="AX24" s="6">
        <f>+'[16]extra'!$U$281</f>
        <v>0</v>
      </c>
      <c r="AY24" s="6">
        <f>+'[16]extra'!$V$281+'[16]extra'!$W$281</f>
        <v>0</v>
      </c>
      <c r="AZ24" s="28">
        <f t="shared" si="29"/>
        <v>0</v>
      </c>
      <c r="BA24" s="6">
        <f>+'[16]extra'!$U$294</f>
        <v>0</v>
      </c>
      <c r="BB24" s="6">
        <f>+'[16]extra'!$V$294+'[16]extra'!$W$294</f>
        <v>0</v>
      </c>
      <c r="BC24" s="28">
        <f t="shared" si="30"/>
        <v>0</v>
      </c>
      <c r="BD24" s="6">
        <f>+'[16]extra'!$U$307</f>
        <v>0</v>
      </c>
      <c r="BE24" s="6">
        <f>+'[16]extra'!$V$307+'[16]extra'!$W$307</f>
        <v>0</v>
      </c>
      <c r="BF24" s="28">
        <f t="shared" si="31"/>
        <v>0</v>
      </c>
      <c r="BG24" s="6">
        <f>+'[16]extra'!$U$320</f>
        <v>0</v>
      </c>
      <c r="BH24" s="6">
        <f>+'[16]extra'!$V$320+'[16]extra'!$W$320</f>
        <v>0</v>
      </c>
      <c r="BI24" s="28">
        <f t="shared" si="32"/>
        <v>0</v>
      </c>
      <c r="BJ24" s="6">
        <f>+'[16]extra'!$U$333</f>
        <v>0</v>
      </c>
      <c r="BK24" s="6">
        <f>+'[16]extra'!$V$333+'[16]extra'!$W$333</f>
        <v>0</v>
      </c>
      <c r="BL24" s="28">
        <f t="shared" si="33"/>
        <v>0</v>
      </c>
      <c r="BM24" s="6">
        <f>+'[16]extra'!$U$346</f>
        <v>0</v>
      </c>
      <c r="BN24" s="6">
        <f>+'[16]extra'!$V$346+'[16]extra'!$W$346</f>
        <v>0</v>
      </c>
      <c r="BO24" s="28">
        <f t="shared" si="34"/>
        <v>0</v>
      </c>
      <c r="BP24" s="6">
        <f>+'[16]extra'!$U$359</f>
        <v>0</v>
      </c>
      <c r="BQ24" s="6">
        <f>+'[16]extra'!$V$359+'[16]extra'!$W$359</f>
        <v>0</v>
      </c>
      <c r="BR24" s="28">
        <f t="shared" si="35"/>
        <v>0</v>
      </c>
      <c r="BS24" s="6">
        <f>+'[16]extra'!$U$372</f>
        <v>0</v>
      </c>
      <c r="BT24" s="6">
        <f>+'[16]extra'!$V$372+'[16]extra'!$W$372</f>
        <v>0</v>
      </c>
      <c r="BU24" s="28">
        <f t="shared" si="36"/>
        <v>0</v>
      </c>
      <c r="BV24" s="6">
        <f>+'[16]extra'!$U$385</f>
        <v>0</v>
      </c>
      <c r="BW24" s="6">
        <f>+'[16]extra'!$V$385+'[16]extra'!$W$385</f>
        <v>0</v>
      </c>
      <c r="BX24" s="28">
        <f t="shared" si="37"/>
        <v>0</v>
      </c>
      <c r="BY24" s="6">
        <f>+'[16]extra'!$U$398</f>
        <v>0</v>
      </c>
      <c r="BZ24" s="6">
        <f>+'[16]extra'!$V$398+'[16]extra'!$W$398</f>
        <v>0</v>
      </c>
      <c r="CA24" s="28">
        <f t="shared" si="38"/>
        <v>0</v>
      </c>
      <c r="CB24" s="6">
        <f>+'[16]extra'!$U$411</f>
        <v>0</v>
      </c>
      <c r="CC24" s="6">
        <f>+'[16]extra'!$V$411+'[16]extra'!$W$411</f>
        <v>0</v>
      </c>
      <c r="CD24" s="28">
        <f t="shared" si="39"/>
        <v>0</v>
      </c>
      <c r="CE24" s="6">
        <f>+'[16]extra'!$U$424</f>
        <v>0</v>
      </c>
      <c r="CF24" s="6">
        <f>+'[16]extra'!$V$424+'[16]extra'!$W$424</f>
        <v>0</v>
      </c>
      <c r="CG24" s="28">
        <f t="shared" si="40"/>
        <v>0</v>
      </c>
      <c r="CH24" s="6">
        <f>+'[16]extra'!$U$437</f>
        <v>0</v>
      </c>
      <c r="CI24" s="6">
        <f>+'[16]extra'!$V$437+'[16]extra'!$W$437</f>
        <v>0</v>
      </c>
      <c r="CJ24" s="28">
        <f t="shared" si="41"/>
        <v>0</v>
      </c>
      <c r="CK24" s="28">
        <f t="shared" si="42"/>
        <v>1125721897.834787</v>
      </c>
      <c r="CL24" s="28">
        <f t="shared" si="43"/>
        <v>416262621.83000004</v>
      </c>
      <c r="CM24" s="28">
        <f t="shared" si="44"/>
        <v>1541984519.6647868</v>
      </c>
      <c r="CN24" s="91" t="s">
        <v>82</v>
      </c>
      <c r="CO24" s="88"/>
      <c r="CP24" s="72"/>
    </row>
    <row r="25" spans="1:94" ht="15">
      <c r="A25" s="8" t="s">
        <v>279</v>
      </c>
      <c r="B25" s="6">
        <f>+'[16]extra'!$AS$73</f>
        <v>58131622.74058721</v>
      </c>
      <c r="C25" s="27">
        <f>+'[16]extra'!$AT$73+'[16]extra'!$AU$73</f>
        <v>872770667.3299999</v>
      </c>
      <c r="D25" s="28">
        <f t="shared" si="13"/>
        <v>930902290.0705872</v>
      </c>
      <c r="E25" s="6">
        <f>+'[16]extra'!$AS$86</f>
        <v>297611201.3201827</v>
      </c>
      <c r="F25" s="27">
        <f>+'[16]extra'!$AT$86+'[16]extra'!$AU$86</f>
        <v>782111050.05</v>
      </c>
      <c r="G25" s="28">
        <f t="shared" si="14"/>
        <v>1079722251.3701825</v>
      </c>
      <c r="H25" s="6">
        <f>+'[16]extra'!$AS$99</f>
        <v>517184040.6158729</v>
      </c>
      <c r="I25" s="27">
        <f>+'[16]extra'!$AT$99+'[16]extra'!$AU$99</f>
        <v>685626785.54</v>
      </c>
      <c r="J25" s="28">
        <f t="shared" si="15"/>
        <v>1202810826.1558728</v>
      </c>
      <c r="K25" s="6">
        <f>+'[16]extra'!$AS$112</f>
        <v>720017702.6725044</v>
      </c>
      <c r="L25" s="27">
        <f>+'[16]extra'!$AT$112+'[16]extra'!$AU$112</f>
        <v>589824747.21</v>
      </c>
      <c r="M25" s="28">
        <f t="shared" si="16"/>
        <v>1309842449.8825045</v>
      </c>
      <c r="N25" s="6">
        <f>+'[16]extra'!$AS$125</f>
        <v>941259355.5094812</v>
      </c>
      <c r="O25" s="27">
        <f>+'[16]extra'!$AT$125+'[16]extra'!$AU$125</f>
        <v>485860485.43</v>
      </c>
      <c r="P25" s="28">
        <f t="shared" si="17"/>
        <v>1427119840.9394813</v>
      </c>
      <c r="Q25" s="6">
        <f>+'[16]extra'!$AS$138</f>
        <v>941259355.5084813</v>
      </c>
      <c r="R25" s="27">
        <f>+'[16]extra'!$AT$138+'[16]extra'!$AU$138</f>
        <v>381896223.44000006</v>
      </c>
      <c r="S25" s="28">
        <f t="shared" si="18"/>
        <v>1323155578.9484813</v>
      </c>
      <c r="T25" s="6">
        <f>+'[16]extra'!$AS$151</f>
        <v>941259355.4994813</v>
      </c>
      <c r="U25" s="27">
        <f>+'[16]extra'!$AT$151+'[16]extra'!$AU$151</f>
        <v>277931961.56</v>
      </c>
      <c r="V25" s="28">
        <f t="shared" si="19"/>
        <v>1219191317.0594814</v>
      </c>
      <c r="W25" s="6">
        <f>+'[16]extra'!$AS$164</f>
        <v>941259355.5</v>
      </c>
      <c r="X25" s="27">
        <f>+'[16]extra'!$AT$164+'[16]extra'!$AU$164</f>
        <v>173967699.66</v>
      </c>
      <c r="Y25" s="28">
        <f t="shared" si="20"/>
        <v>1115227055.16</v>
      </c>
      <c r="Z25" s="6">
        <f>+'[16]extra'!$AS$177</f>
        <v>674563424.39</v>
      </c>
      <c r="AA25" s="27">
        <f>+'[16]extra'!$AT$177+'[16]extra'!$AU$177</f>
        <v>70003437.73</v>
      </c>
      <c r="AB25" s="28">
        <f t="shared" si="21"/>
        <v>744566862.12</v>
      </c>
      <c r="AC25" s="6">
        <f>+'[16]extra'!$AS$190</f>
        <v>203933746.64</v>
      </c>
      <c r="AD25" s="27">
        <f>+'[16]extra'!$AT$190+'[16]extra'!$AU$190</f>
        <v>11003093.07</v>
      </c>
      <c r="AE25" s="28">
        <f t="shared" si="22"/>
        <v>214936839.70999998</v>
      </c>
      <c r="AF25" s="6">
        <f>+'[16]extra'!$AS$203</f>
        <v>0</v>
      </c>
      <c r="AG25" s="27">
        <f>+'[16]extra'!$AT$203+'[16]extra'!$AU$203</f>
        <v>0</v>
      </c>
      <c r="AH25" s="28">
        <f t="shared" si="23"/>
        <v>0</v>
      </c>
      <c r="AI25" s="6">
        <f>+'[16]extra'!$AS$216</f>
        <v>0</v>
      </c>
      <c r="AJ25" s="27">
        <f>+'[16]extra'!$AT$216+'[16]extra'!$AU$216</f>
        <v>0</v>
      </c>
      <c r="AK25" s="28">
        <f t="shared" si="24"/>
        <v>0</v>
      </c>
      <c r="AL25" s="6">
        <f>+'[16]extra'!$AS$229</f>
        <v>0</v>
      </c>
      <c r="AM25" s="27">
        <f>+'[16]extra'!$AT$229+'[16]extra'!$AU$229</f>
        <v>0</v>
      </c>
      <c r="AN25" s="28">
        <f t="shared" si="25"/>
        <v>0</v>
      </c>
      <c r="AO25" s="6">
        <f>+'[16]extra'!$AS$242</f>
        <v>0</v>
      </c>
      <c r="AP25" s="27">
        <f>+'[16]extra'!$AT$242+'[16]extra'!$AU$242</f>
        <v>0</v>
      </c>
      <c r="AQ25" s="28">
        <f t="shared" si="26"/>
        <v>0</v>
      </c>
      <c r="AR25" s="6">
        <f>+'[16]extra'!$AS$255</f>
        <v>0</v>
      </c>
      <c r="AS25" s="27">
        <f>+'[16]extra'!$AT$255+'[16]extra'!$AU$255</f>
        <v>0</v>
      </c>
      <c r="AT25" s="28">
        <f t="shared" si="27"/>
        <v>0</v>
      </c>
      <c r="AU25" s="6">
        <f>+'[16]extra'!$AS$268</f>
        <v>0</v>
      </c>
      <c r="AV25" s="27">
        <f>+'[16]extra'!$AT$268+'[16]extra'!$AU$268</f>
        <v>0</v>
      </c>
      <c r="AW25" s="28">
        <f t="shared" si="28"/>
        <v>0</v>
      </c>
      <c r="AX25" s="6">
        <f>+'[16]extra'!$AS$281</f>
        <v>0</v>
      </c>
      <c r="AY25" s="27">
        <f>+'[16]extra'!$AT$281+'[16]extra'!$AU$281</f>
        <v>0</v>
      </c>
      <c r="AZ25" s="28">
        <f t="shared" si="29"/>
        <v>0</v>
      </c>
      <c r="BA25" s="6">
        <f>+'[16]extra'!$AS$294</f>
        <v>0</v>
      </c>
      <c r="BB25" s="27">
        <f>+'[16]extra'!$AT$294+'[16]extra'!$AU$294</f>
        <v>0</v>
      </c>
      <c r="BC25" s="28">
        <f t="shared" si="30"/>
        <v>0</v>
      </c>
      <c r="BD25" s="6">
        <f>+'[16]extra'!$AS$307</f>
        <v>0</v>
      </c>
      <c r="BE25" s="27">
        <f>+'[16]extra'!$AT$307+'[16]extra'!$AU$307</f>
        <v>0</v>
      </c>
      <c r="BF25" s="28">
        <f t="shared" si="31"/>
        <v>0</v>
      </c>
      <c r="BG25" s="6">
        <f>+'[16]extra'!$AS$320</f>
        <v>0</v>
      </c>
      <c r="BH25" s="27">
        <f>+'[16]extra'!$AT$320+'[16]extra'!$AU$320</f>
        <v>0</v>
      </c>
      <c r="BI25" s="28">
        <f t="shared" si="32"/>
        <v>0</v>
      </c>
      <c r="BJ25" s="6">
        <f>+'[16]extra'!$AS$333</f>
        <v>0</v>
      </c>
      <c r="BK25" s="27">
        <f>+'[16]extra'!$AT$333+'[16]extra'!$AU$333</f>
        <v>0</v>
      </c>
      <c r="BL25" s="28">
        <f t="shared" si="33"/>
        <v>0</v>
      </c>
      <c r="BM25" s="6">
        <f>+'[16]extra'!$AS$346</f>
        <v>0</v>
      </c>
      <c r="BN25" s="27">
        <f>+'[16]extra'!$AT$346+'[16]extra'!$AU$346</f>
        <v>0</v>
      </c>
      <c r="BO25" s="28">
        <f t="shared" si="34"/>
        <v>0</v>
      </c>
      <c r="BP25" s="6">
        <f>+'[16]extra'!$AS$359</f>
        <v>0</v>
      </c>
      <c r="BQ25" s="27">
        <f>+'[16]extra'!$AT$359+'[16]extra'!$AU$359</f>
        <v>0</v>
      </c>
      <c r="BR25" s="28">
        <f t="shared" si="35"/>
        <v>0</v>
      </c>
      <c r="BS25" s="6">
        <f>+'[16]extra'!$AS$372</f>
        <v>0</v>
      </c>
      <c r="BT25" s="27">
        <f>+'[16]extra'!$AT$372+'[16]extra'!$AU$372</f>
        <v>0</v>
      </c>
      <c r="BU25" s="28">
        <f t="shared" si="36"/>
        <v>0</v>
      </c>
      <c r="BV25" s="6">
        <f>+'[16]extra'!$AS$385</f>
        <v>0</v>
      </c>
      <c r="BW25" s="27">
        <f>+'[16]extra'!$AT$385+'[16]extra'!$AU$385</f>
        <v>0</v>
      </c>
      <c r="BX25" s="28">
        <f t="shared" si="37"/>
        <v>0</v>
      </c>
      <c r="BY25" s="6">
        <f>+'[16]extra'!$AS$398</f>
        <v>0</v>
      </c>
      <c r="BZ25" s="27">
        <f>+'[16]extra'!$AT$398+'[16]extra'!$AU$398</f>
        <v>0</v>
      </c>
      <c r="CA25" s="28">
        <f t="shared" si="38"/>
        <v>0</v>
      </c>
      <c r="CB25" s="6">
        <f>+'[16]extra'!$AS$411</f>
        <v>0</v>
      </c>
      <c r="CC25" s="27">
        <f>+'[16]extra'!$AT$411+'[16]extra'!$AU$411</f>
        <v>0</v>
      </c>
      <c r="CD25" s="28">
        <f t="shared" si="39"/>
        <v>0</v>
      </c>
      <c r="CE25" s="6">
        <f>+'[16]extra'!$AS$424</f>
        <v>0</v>
      </c>
      <c r="CF25" s="27">
        <f>+'[16]extra'!$AT$424+'[16]extra'!$AU$424</f>
        <v>0</v>
      </c>
      <c r="CG25" s="28">
        <f t="shared" si="40"/>
        <v>0</v>
      </c>
      <c r="CH25" s="6">
        <f>+'[16]extra'!$AS$437</f>
        <v>0</v>
      </c>
      <c r="CI25" s="27">
        <f>+'[16]extra'!$AT$437+'[16]extra'!$AU$437</f>
        <v>0</v>
      </c>
      <c r="CJ25" s="28">
        <f t="shared" si="41"/>
        <v>0</v>
      </c>
      <c r="CK25" s="28">
        <f t="shared" si="42"/>
        <v>6236479160.396591</v>
      </c>
      <c r="CL25" s="28">
        <f t="shared" si="43"/>
        <v>4330996151.0199995</v>
      </c>
      <c r="CM25" s="28">
        <f t="shared" si="44"/>
        <v>10567475311.416592</v>
      </c>
      <c r="CN25" s="91" t="s">
        <v>77</v>
      </c>
      <c r="CO25" s="4"/>
      <c r="CP25" s="72"/>
    </row>
    <row r="26" spans="1:94" ht="15">
      <c r="A26" s="8" t="s">
        <v>280</v>
      </c>
      <c r="B26" s="6">
        <f>+'[16]extra'!$AV$73</f>
        <v>13102223.779842</v>
      </c>
      <c r="C26" s="27">
        <f>+'[16]extra'!$AW$73+'[16]extra'!$AX$73</f>
        <v>33256390.419999994</v>
      </c>
      <c r="D26" s="28">
        <f t="shared" si="13"/>
        <v>46358614.19984199</v>
      </c>
      <c r="E26" s="6">
        <f>+'[16]extra'!$AV$86</f>
        <v>24724508.160898004</v>
      </c>
      <c r="F26" s="27">
        <f>+'[16]extra'!$AW$86+'[16]extra'!$AX$86</f>
        <v>29408084.21</v>
      </c>
      <c r="G26" s="28">
        <f t="shared" si="14"/>
        <v>54132592.37089801</v>
      </c>
      <c r="H26" s="6">
        <f>+'[16]extra'!$AV$99</f>
        <v>35550619.171128005</v>
      </c>
      <c r="I26" s="27">
        <f>+'[16]extra'!$AW$99+'[16]extra'!$AX$99</f>
        <v>25838902.17</v>
      </c>
      <c r="J26" s="28">
        <f t="shared" si="15"/>
        <v>61389521.34112801</v>
      </c>
      <c r="K26" s="6">
        <f>+'[16]extra'!$AV$112</f>
        <v>45736895.88754499</v>
      </c>
      <c r="L26" s="27">
        <f>+'[16]extra'!$AW$112+'[16]extra'!$AX$112</f>
        <v>22105306.54</v>
      </c>
      <c r="M26" s="28">
        <f t="shared" si="16"/>
        <v>67842202.42754498</v>
      </c>
      <c r="N26" s="6">
        <f>+'[16]extra'!$AV$125</f>
        <v>57767917.089999996</v>
      </c>
      <c r="O26" s="27">
        <f>+'[16]extra'!$AW$125+'[16]extra'!$AX$125</f>
        <v>18355017.22</v>
      </c>
      <c r="P26" s="28">
        <f t="shared" si="17"/>
        <v>76122934.31</v>
      </c>
      <c r="Q26" s="6">
        <f>+'[16]extra'!$AV$138</f>
        <v>58345537.800000004</v>
      </c>
      <c r="R26" s="27">
        <f>+'[16]extra'!$AW$138+'[16]extra'!$AX$138</f>
        <v>14480909.86</v>
      </c>
      <c r="S26" s="28">
        <f t="shared" si="18"/>
        <v>72826447.66</v>
      </c>
      <c r="T26" s="6">
        <f>+'[16]extra'!$AV$151</f>
        <v>58929028.46000001</v>
      </c>
      <c r="U26" s="27">
        <f>+'[16]extra'!$AW$151+'[16]extra'!$AX$151</f>
        <v>10402771.9</v>
      </c>
      <c r="V26" s="28">
        <f t="shared" si="19"/>
        <v>69331800.36000001</v>
      </c>
      <c r="W26" s="6">
        <f>+'[16]extra'!$AV$164</f>
        <v>59518367.07</v>
      </c>
      <c r="X26" s="27">
        <f>+'[16]extra'!$AW$164+'[16]extra'!$AX$164</f>
        <v>6377974.530000001</v>
      </c>
      <c r="Y26" s="28">
        <f t="shared" si="20"/>
        <v>65896341.6</v>
      </c>
      <c r="Z26" s="6">
        <f>+'[16]extra'!$AV$177</f>
        <v>60113575.69000001</v>
      </c>
      <c r="AA26" s="27">
        <f>+'[16]extra'!$AW$177+'[16]extra'!$AX$177</f>
        <v>2279600.97</v>
      </c>
      <c r="AB26" s="28">
        <f t="shared" si="21"/>
        <v>62393176.66000001</v>
      </c>
      <c r="AC26" s="6">
        <f>+'[16]extra'!$AV$190</f>
        <v>0</v>
      </c>
      <c r="AD26" s="27">
        <f>+'[16]extra'!$AW$190+'[16]extra'!$AX$190</f>
        <v>0</v>
      </c>
      <c r="AE26" s="28">
        <f t="shared" si="22"/>
        <v>0</v>
      </c>
      <c r="AF26" s="6">
        <f>+'[16]extra'!$AV$203</f>
        <v>0</v>
      </c>
      <c r="AG26" s="27">
        <f>+'[16]extra'!$AW$203+'[16]extra'!$AX$203</f>
        <v>0</v>
      </c>
      <c r="AH26" s="28">
        <f t="shared" si="23"/>
        <v>0</v>
      </c>
      <c r="AI26" s="6">
        <f>+'[16]extra'!$AV$216</f>
        <v>0</v>
      </c>
      <c r="AJ26" s="27">
        <f>+'[16]extra'!$AW$216+'[16]extra'!$AX$216</f>
        <v>0</v>
      </c>
      <c r="AK26" s="28">
        <f t="shared" si="24"/>
        <v>0</v>
      </c>
      <c r="AL26" s="6">
        <f>+'[16]extra'!$AV$229</f>
        <v>0</v>
      </c>
      <c r="AM26" s="27">
        <f>+'[16]extra'!$AW$229+'[16]extra'!$AX$229</f>
        <v>0</v>
      </c>
      <c r="AN26" s="28">
        <f t="shared" si="25"/>
        <v>0</v>
      </c>
      <c r="AO26" s="6">
        <f>+'[16]extra'!$AV$242</f>
        <v>0</v>
      </c>
      <c r="AP26" s="27">
        <f>+'[16]extra'!$AW$242+'[16]extra'!$AX$242</f>
        <v>0</v>
      </c>
      <c r="AQ26" s="28">
        <f t="shared" si="26"/>
        <v>0</v>
      </c>
      <c r="AR26" s="6">
        <f>+'[16]extra'!$AV$255</f>
        <v>0</v>
      </c>
      <c r="AS26" s="27">
        <f>+'[16]extra'!$AW$255+'[16]extra'!$AX$255</f>
        <v>0</v>
      </c>
      <c r="AT26" s="28">
        <f t="shared" si="27"/>
        <v>0</v>
      </c>
      <c r="AU26" s="6">
        <f>+'[16]extra'!$AV$268</f>
        <v>0</v>
      </c>
      <c r="AV26" s="27">
        <f>+'[16]extra'!$AW$268+'[16]extra'!$AX$268</f>
        <v>0</v>
      </c>
      <c r="AW26" s="28">
        <f t="shared" si="28"/>
        <v>0</v>
      </c>
      <c r="AX26" s="6">
        <f>+'[16]extra'!$AV$281</f>
        <v>0</v>
      </c>
      <c r="AY26" s="27">
        <f>+'[16]extra'!$AW$281+'[16]extra'!$AX$281</f>
        <v>0</v>
      </c>
      <c r="AZ26" s="28">
        <f t="shared" si="29"/>
        <v>0</v>
      </c>
      <c r="BA26" s="6">
        <f>+'[16]extra'!$AV$294</f>
        <v>0</v>
      </c>
      <c r="BB26" s="27">
        <f>+'[16]extra'!$AW$294+'[16]extra'!$AX$294</f>
        <v>0</v>
      </c>
      <c r="BC26" s="28">
        <f t="shared" si="30"/>
        <v>0</v>
      </c>
      <c r="BD26" s="6">
        <f>+'[16]extra'!$AV$307</f>
        <v>0</v>
      </c>
      <c r="BE26" s="27">
        <f>+'[16]extra'!$AW$307+'[16]extra'!$AX$307</f>
        <v>0</v>
      </c>
      <c r="BF26" s="28">
        <f t="shared" si="31"/>
        <v>0</v>
      </c>
      <c r="BG26" s="6">
        <f>+'[16]extra'!$AV$320</f>
        <v>0</v>
      </c>
      <c r="BH26" s="27">
        <f>+'[16]extra'!$AW$320+'[16]extra'!$AX$320</f>
        <v>0</v>
      </c>
      <c r="BI26" s="28">
        <f t="shared" si="32"/>
        <v>0</v>
      </c>
      <c r="BJ26" s="6">
        <f>+'[16]extra'!$AV$333</f>
        <v>0</v>
      </c>
      <c r="BK26" s="27">
        <f>+'[16]extra'!$AW$333+'[16]extra'!$AX$333</f>
        <v>0</v>
      </c>
      <c r="BL26" s="28">
        <f t="shared" si="33"/>
        <v>0</v>
      </c>
      <c r="BM26" s="6">
        <f>+'[16]extra'!$AV$346</f>
        <v>0</v>
      </c>
      <c r="BN26" s="27">
        <f>+'[16]extra'!$AW$346+'[16]extra'!$AX$346</f>
        <v>0</v>
      </c>
      <c r="BO26" s="28">
        <f t="shared" si="34"/>
        <v>0</v>
      </c>
      <c r="BP26" s="6">
        <f>+'[16]extra'!$AV$359</f>
        <v>0</v>
      </c>
      <c r="BQ26" s="27">
        <f>+'[16]extra'!$AW$359+'[16]extra'!$AX$359</f>
        <v>0</v>
      </c>
      <c r="BR26" s="28">
        <f t="shared" si="35"/>
        <v>0</v>
      </c>
      <c r="BS26" s="6">
        <f>+'[16]extra'!$AV$372</f>
        <v>0</v>
      </c>
      <c r="BT26" s="27">
        <f>+'[16]extra'!$AW$372+'[16]extra'!$AX$372</f>
        <v>0</v>
      </c>
      <c r="BU26" s="28">
        <f t="shared" si="36"/>
        <v>0</v>
      </c>
      <c r="BV26" s="6">
        <f>+'[16]extra'!$AV$385</f>
        <v>0</v>
      </c>
      <c r="BW26" s="27">
        <f>+'[16]extra'!$AW$385+'[16]extra'!$AX$385</f>
        <v>0</v>
      </c>
      <c r="BX26" s="28">
        <f t="shared" si="37"/>
        <v>0</v>
      </c>
      <c r="BY26" s="6">
        <f>+'[16]extra'!$AV$398</f>
        <v>0</v>
      </c>
      <c r="BZ26" s="27">
        <f>+'[16]extra'!$AW$398+'[16]extra'!$AX$398</f>
        <v>0</v>
      </c>
      <c r="CA26" s="28">
        <f t="shared" si="38"/>
        <v>0</v>
      </c>
      <c r="CB26" s="6">
        <f>+'[16]extra'!$AV$411</f>
        <v>0</v>
      </c>
      <c r="CC26" s="27">
        <f>+'[16]extra'!$AW$411+'[16]extra'!$AX$411</f>
        <v>0</v>
      </c>
      <c r="CD26" s="28">
        <f t="shared" si="39"/>
        <v>0</v>
      </c>
      <c r="CE26" s="6">
        <f>+'[16]extra'!$AV$424</f>
        <v>0</v>
      </c>
      <c r="CF26" s="27">
        <f>+'[16]extra'!$AW$424+'[16]extra'!$AX$424</f>
        <v>0</v>
      </c>
      <c r="CG26" s="28">
        <f t="shared" si="40"/>
        <v>0</v>
      </c>
      <c r="CH26" s="6">
        <f>+'[16]extra'!$AV$437</f>
        <v>0</v>
      </c>
      <c r="CI26" s="27">
        <f>+'[16]extra'!$AW$437+'[16]extra'!$AX$437</f>
        <v>0</v>
      </c>
      <c r="CJ26" s="28">
        <f t="shared" si="41"/>
        <v>0</v>
      </c>
      <c r="CK26" s="28">
        <f t="shared" si="42"/>
        <v>413788673.109413</v>
      </c>
      <c r="CL26" s="28">
        <f t="shared" si="43"/>
        <v>162504957.82000002</v>
      </c>
      <c r="CM26" s="28">
        <f t="shared" si="44"/>
        <v>576293630.9294131</v>
      </c>
      <c r="CN26" s="91" t="s">
        <v>78</v>
      </c>
      <c r="CO26" s="4"/>
      <c r="CP26" s="72"/>
    </row>
    <row r="27" spans="1:94" ht="15">
      <c r="A27" s="8" t="s">
        <v>282</v>
      </c>
      <c r="B27" s="6">
        <f>+'[16]extra'!$AY$73</f>
        <v>0</v>
      </c>
      <c r="C27" s="27">
        <f>+'[16]extra'!$AZ$73+'[16]extra'!$BA$73</f>
        <v>102985647.500974</v>
      </c>
      <c r="D27" s="28">
        <f t="shared" si="13"/>
        <v>102985647.500974</v>
      </c>
      <c r="E27" s="6">
        <f>+'[16]extra'!$AY$86</f>
        <v>6362641.443932004</v>
      </c>
      <c r="F27" s="27">
        <f>+'[16]extra'!$AZ$86+'[16]extra'!$BA$86</f>
        <v>117811619.35</v>
      </c>
      <c r="G27" s="28">
        <f t="shared" si="14"/>
        <v>124174260.79393199</v>
      </c>
      <c r="H27" s="6">
        <f>+'[16]extra'!$AY$99</f>
        <v>29652000.401151992</v>
      </c>
      <c r="I27" s="27">
        <f>+'[16]extra'!$AZ$99+'[16]extra'!$BA$99</f>
        <v>119910941.25</v>
      </c>
      <c r="J27" s="28">
        <f t="shared" si="15"/>
        <v>149562941.65115198</v>
      </c>
      <c r="K27" s="6">
        <f>+'[16]extra'!$AY$112</f>
        <v>55923981.35349998</v>
      </c>
      <c r="L27" s="27">
        <f>+'[16]extra'!$AZ$112+'[16]extra'!$BA$112</f>
        <v>109385119.47</v>
      </c>
      <c r="M27" s="28">
        <f t="shared" si="16"/>
        <v>165309100.82349998</v>
      </c>
      <c r="N27" s="6">
        <f>+'[16]extra'!$AY$125</f>
        <v>86706880.46</v>
      </c>
      <c r="O27" s="27">
        <f>+'[16]extra'!$AZ$125+'[16]extra'!$BA$125</f>
        <v>104415452.7</v>
      </c>
      <c r="P27" s="28">
        <f t="shared" si="17"/>
        <v>191122333.16</v>
      </c>
      <c r="Q27" s="6">
        <f>+'[16]extra'!$AY$138</f>
        <v>89665487.98000002</v>
      </c>
      <c r="R27" s="27">
        <f>+'[16]extra'!$AZ$138+'[16]extra'!$BA$138</f>
        <v>98979225.94</v>
      </c>
      <c r="S27" s="28">
        <f t="shared" si="18"/>
        <v>188644713.92000002</v>
      </c>
      <c r="T27" s="6">
        <f>+'[16]extra'!$AY$151</f>
        <v>92725030.21</v>
      </c>
      <c r="U27" s="27">
        <f>+'[16]extra'!$AZ$151+'[16]extra'!$BA$151</f>
        <v>93050419.39</v>
      </c>
      <c r="V27" s="28">
        <f t="shared" si="19"/>
        <v>185775449.6</v>
      </c>
      <c r="W27" s="6">
        <f>+'[16]extra'!$AY$164</f>
        <v>95889069.75999999</v>
      </c>
      <c r="X27" s="27">
        <f>+'[16]extra'!$AZ$164+'[16]extra'!$BA$164</f>
        <v>86601860.43</v>
      </c>
      <c r="Y27" s="28">
        <f t="shared" si="20"/>
        <v>182490930.19</v>
      </c>
      <c r="Z27" s="6">
        <f>+'[16]extra'!$AY$177</f>
        <v>99161000.50999999</v>
      </c>
      <c r="AA27" s="27">
        <f>+'[16]extra'!$AZ$177+'[16]extra'!$BA$177</f>
        <v>79604810.57</v>
      </c>
      <c r="AB27" s="28">
        <f t="shared" si="21"/>
        <v>178765811.07999998</v>
      </c>
      <c r="AC27" s="6">
        <f>+'[16]extra'!$AY$190</f>
        <v>102544541.33</v>
      </c>
      <c r="AD27" s="27">
        <f>+'[16]extra'!$AZ$190+'[16]extra'!$BA$190</f>
        <v>72029397.25999999</v>
      </c>
      <c r="AE27" s="28">
        <f t="shared" si="22"/>
        <v>174573938.58999997</v>
      </c>
      <c r="AF27" s="6">
        <f>+'[16]extra'!$AY$203</f>
        <v>106043567.35</v>
      </c>
      <c r="AG27" s="27">
        <f>+'[16]extra'!$AZ$203+'[16]extra'!$BA$203</f>
        <v>63844348.96</v>
      </c>
      <c r="AH27" s="28">
        <f t="shared" si="23"/>
        <v>169887916.31</v>
      </c>
      <c r="AI27" s="6">
        <f>+'[16]extra'!$AY$216</f>
        <v>109662034.96000001</v>
      </c>
      <c r="AJ27" s="27">
        <f>+'[16]extra'!$AZ$216+'[16]extra'!$BA$216</f>
        <v>55016879.39</v>
      </c>
      <c r="AK27" s="28">
        <f t="shared" si="24"/>
        <v>164678914.35000002</v>
      </c>
      <c r="AL27" s="6">
        <f>+'[16]extra'!$AY$229</f>
        <v>113403950.53999999</v>
      </c>
      <c r="AM27" s="27">
        <f>+'[16]extra'!$AZ$229+'[16]extra'!$BA$229</f>
        <v>45512633.87</v>
      </c>
      <c r="AN27" s="28">
        <f t="shared" si="25"/>
        <v>158916584.41</v>
      </c>
      <c r="AO27" s="6">
        <f>+'[16]extra'!$AY$242</f>
        <v>117273558</v>
      </c>
      <c r="AP27" s="27">
        <f>+'[16]extra'!$AZ$242+'[16]extra'!$BA$242</f>
        <v>35295720.94</v>
      </c>
      <c r="AQ27" s="28">
        <f t="shared" si="26"/>
        <v>152569278.94</v>
      </c>
      <c r="AR27" s="6">
        <f>+'[16]extra'!$AY$255</f>
        <v>121275169.97</v>
      </c>
      <c r="AS27" s="27">
        <f>+'[16]extra'!$AZ$255+'[16]extra'!$BA$255</f>
        <v>24328559.14</v>
      </c>
      <c r="AT27" s="28">
        <f t="shared" si="27"/>
        <v>145603729.11</v>
      </c>
      <c r="AU27" s="6">
        <f>+'[16]extra'!$AY$268</f>
        <v>125298803.05</v>
      </c>
      <c r="AV27" s="27">
        <f>+'[16]extra'!$AZ$268+'[16]extra'!$BA$268</f>
        <v>12571857.08</v>
      </c>
      <c r="AW27" s="28">
        <f t="shared" si="28"/>
        <v>137870660.13</v>
      </c>
      <c r="AX27" s="6">
        <f>+'[16]extra'!$AY$281</f>
        <v>0</v>
      </c>
      <c r="AY27" s="27">
        <f>+'[16]extra'!$AZ$281+'[16]extra'!$BA$281</f>
        <v>0</v>
      </c>
      <c r="AZ27" s="28">
        <f t="shared" si="29"/>
        <v>0</v>
      </c>
      <c r="BA27" s="6">
        <f>+'[16]extra'!$AY$294</f>
        <v>0</v>
      </c>
      <c r="BB27" s="27">
        <f>+'[16]extra'!$AZ$294+'[16]extra'!$BA$294</f>
        <v>0</v>
      </c>
      <c r="BC27" s="28">
        <f t="shared" si="30"/>
        <v>0</v>
      </c>
      <c r="BD27" s="6">
        <f>+'[16]extra'!$AY$307</f>
        <v>0</v>
      </c>
      <c r="BE27" s="27">
        <f>+'[16]extra'!$AZ$307+'[16]extra'!$BA$307</f>
        <v>0</v>
      </c>
      <c r="BF27" s="28">
        <f t="shared" si="31"/>
        <v>0</v>
      </c>
      <c r="BG27" s="6">
        <f>+'[16]extra'!$AY$320</f>
        <v>0</v>
      </c>
      <c r="BH27" s="27">
        <f>+'[16]extra'!$AZ$320+'[16]extra'!$BA$320</f>
        <v>0</v>
      </c>
      <c r="BI27" s="28">
        <f t="shared" si="32"/>
        <v>0</v>
      </c>
      <c r="BJ27" s="6">
        <f>+'[16]extra'!$AY$333</f>
        <v>0</v>
      </c>
      <c r="BK27" s="27">
        <f>+'[16]extra'!$AZ$333+'[16]extra'!$BA$333</f>
        <v>0</v>
      </c>
      <c r="BL27" s="28">
        <f t="shared" si="33"/>
        <v>0</v>
      </c>
      <c r="BM27" s="6">
        <f>+'[16]extra'!$AY$346</f>
        <v>0</v>
      </c>
      <c r="BN27" s="27">
        <f>+'[16]extra'!$AZ$346+'[16]extra'!$BA$346</f>
        <v>0</v>
      </c>
      <c r="BO27" s="28">
        <f t="shared" si="34"/>
        <v>0</v>
      </c>
      <c r="BP27" s="6">
        <f>+'[16]extra'!$AY$359</f>
        <v>0</v>
      </c>
      <c r="BQ27" s="27">
        <f>+'[16]extra'!$AZ$359+'[16]extra'!$BA$359</f>
        <v>0</v>
      </c>
      <c r="BR27" s="28">
        <f t="shared" si="35"/>
        <v>0</v>
      </c>
      <c r="BS27" s="6">
        <f>+'[16]extra'!$AY$372</f>
        <v>0</v>
      </c>
      <c r="BT27" s="27">
        <f>+'[16]extra'!$AZ$372+'[16]extra'!$BA$372</f>
        <v>0</v>
      </c>
      <c r="BU27" s="28">
        <f t="shared" si="36"/>
        <v>0</v>
      </c>
      <c r="BV27" s="6">
        <f>+'[16]extra'!$AY$385</f>
        <v>0</v>
      </c>
      <c r="BW27" s="27">
        <f>+'[16]extra'!$AZ$385+'[16]extra'!$BA$385</f>
        <v>0</v>
      </c>
      <c r="BX27" s="28">
        <f t="shared" si="37"/>
        <v>0</v>
      </c>
      <c r="BY27" s="6">
        <f>+'[16]extra'!$AY$398</f>
        <v>0</v>
      </c>
      <c r="BZ27" s="27">
        <f>+'[16]extra'!$AZ$398+'[16]extra'!$BA$398</f>
        <v>0</v>
      </c>
      <c r="CA27" s="28">
        <f t="shared" si="38"/>
        <v>0</v>
      </c>
      <c r="CB27" s="6">
        <f>+'[16]extra'!$AY$411</f>
        <v>0</v>
      </c>
      <c r="CC27" s="27">
        <f>+'[16]extra'!$AZ$411+'[16]extra'!$BA$411</f>
        <v>0</v>
      </c>
      <c r="CD27" s="28">
        <f t="shared" si="39"/>
        <v>0</v>
      </c>
      <c r="CE27" s="6">
        <f>+'[16]extra'!$AY$424</f>
        <v>0</v>
      </c>
      <c r="CF27" s="27">
        <f>+'[16]extra'!$AZ$424+'[16]extra'!$BA$424</f>
        <v>0</v>
      </c>
      <c r="CG27" s="28">
        <f t="shared" si="40"/>
        <v>0</v>
      </c>
      <c r="CH27" s="6">
        <f>+'[16]extra'!$AY$437</f>
        <v>0</v>
      </c>
      <c r="CI27" s="27">
        <f>+'[16]extra'!$AZ$437+'[16]extra'!$BA$437</f>
        <v>0</v>
      </c>
      <c r="CJ27" s="28">
        <f t="shared" si="41"/>
        <v>0</v>
      </c>
      <c r="CK27" s="28">
        <f t="shared" si="42"/>
        <v>1351587717.318584</v>
      </c>
      <c r="CL27" s="28">
        <f t="shared" si="43"/>
        <v>1221344493.240974</v>
      </c>
      <c r="CM27" s="28">
        <f t="shared" si="44"/>
        <v>2572932210.559558</v>
      </c>
      <c r="CN27" s="91" t="s">
        <v>92</v>
      </c>
      <c r="CO27" s="4"/>
      <c r="CP27" s="72"/>
    </row>
    <row r="28" spans="1:94" ht="15">
      <c r="A28" s="8" t="s">
        <v>283</v>
      </c>
      <c r="B28" s="27">
        <f>+'[16]extra'!$F$73</f>
        <v>31368080.18</v>
      </c>
      <c r="C28" s="27">
        <f>+'[16]extra'!$G$73+'[16]extra'!$H$73</f>
        <v>0</v>
      </c>
      <c r="D28" s="28">
        <f t="shared" si="13"/>
        <v>31368080.18</v>
      </c>
      <c r="E28" s="27">
        <f>+'[16]extra'!$F$86</f>
        <v>24000000</v>
      </c>
      <c r="F28" s="27">
        <f>+'[16]extra'!$G$86+'[16]extra'!$H$86</f>
        <v>0</v>
      </c>
      <c r="G28" s="28">
        <f t="shared" si="14"/>
        <v>24000000</v>
      </c>
      <c r="H28" s="27">
        <f>+'[16]extra'!$F$99</f>
        <v>21000000</v>
      </c>
      <c r="I28" s="27">
        <f>+'[16]extra'!$G$99+'[16]extra'!$H$99</f>
        <v>0</v>
      </c>
      <c r="J28" s="28">
        <f t="shared" si="15"/>
        <v>21000000</v>
      </c>
      <c r="K28" s="27">
        <f>+'[16]extra'!$F$112</f>
        <v>21000000</v>
      </c>
      <c r="L28" s="27">
        <f>+'[16]extra'!$G$112+'[16]extra'!$H$112</f>
        <v>0</v>
      </c>
      <c r="M28" s="28">
        <f t="shared" si="16"/>
        <v>21000000</v>
      </c>
      <c r="N28" s="27">
        <f>+'[16]extra'!$F$125</f>
        <v>6440424.934742158</v>
      </c>
      <c r="O28" s="27">
        <f>+'[16]extra'!$G$125+'[16]extra'!$H$125</f>
        <v>0</v>
      </c>
      <c r="P28" s="28">
        <f t="shared" si="17"/>
        <v>6440424.934742158</v>
      </c>
      <c r="Q28" s="27">
        <f>+'[16]extra'!$F$138</f>
        <v>0</v>
      </c>
      <c r="R28" s="27">
        <f>+'[16]extra'!$G$138+'[16]extra'!$H$138</f>
        <v>0</v>
      </c>
      <c r="S28" s="28">
        <f t="shared" si="18"/>
        <v>0</v>
      </c>
      <c r="T28" s="27">
        <f>+'[16]extra'!$F$151</f>
        <v>0</v>
      </c>
      <c r="U28" s="27">
        <f>+'[16]extra'!$G$151+'[16]extra'!$H$151</f>
        <v>0</v>
      </c>
      <c r="V28" s="28">
        <f t="shared" si="19"/>
        <v>0</v>
      </c>
      <c r="W28" s="27">
        <f>+'[16]extra'!$F$164</f>
        <v>0</v>
      </c>
      <c r="X28" s="27">
        <f>+'[16]extra'!$G$164+'[16]extra'!$H$164</f>
        <v>0</v>
      </c>
      <c r="Y28" s="28">
        <f t="shared" si="20"/>
        <v>0</v>
      </c>
      <c r="Z28" s="27">
        <f>+'[16]extra'!$F$177</f>
        <v>0</v>
      </c>
      <c r="AA28" s="27">
        <f>+'[16]extra'!$G$177+'[16]extra'!$H$177</f>
        <v>0</v>
      </c>
      <c r="AB28" s="28">
        <f t="shared" si="21"/>
        <v>0</v>
      </c>
      <c r="AC28" s="27">
        <f>+'[16]extra'!$F$190</f>
        <v>0</v>
      </c>
      <c r="AD28" s="27">
        <f>+'[16]extra'!$G$190+'[16]extra'!$H$190</f>
        <v>0</v>
      </c>
      <c r="AE28" s="28">
        <f t="shared" si="22"/>
        <v>0</v>
      </c>
      <c r="AF28" s="27">
        <f>+'[16]extra'!$F$203</f>
        <v>0</v>
      </c>
      <c r="AG28" s="27">
        <f>+'[16]extra'!$G$203+'[16]extra'!$H$203</f>
        <v>0</v>
      </c>
      <c r="AH28" s="28">
        <f t="shared" si="23"/>
        <v>0</v>
      </c>
      <c r="AI28" s="27">
        <f>+'[16]extra'!$F$216</f>
        <v>0</v>
      </c>
      <c r="AJ28" s="27">
        <f>+'[16]extra'!$G$216+'[16]extra'!$H$216</f>
        <v>0</v>
      </c>
      <c r="AK28" s="28">
        <f t="shared" si="24"/>
        <v>0</v>
      </c>
      <c r="AL28" s="27">
        <f>+'[16]extra'!$F$229</f>
        <v>0</v>
      </c>
      <c r="AM28" s="27">
        <f>+'[16]extra'!$G$229+'[16]extra'!$H$229</f>
        <v>0</v>
      </c>
      <c r="AN28" s="28">
        <f t="shared" si="25"/>
        <v>0</v>
      </c>
      <c r="AO28" s="27">
        <f>+'[16]extra'!$F$242</f>
        <v>0</v>
      </c>
      <c r="AP28" s="27">
        <f>+'[16]extra'!$G$242+'[16]extra'!$H$242</f>
        <v>0</v>
      </c>
      <c r="AQ28" s="28">
        <f t="shared" si="26"/>
        <v>0</v>
      </c>
      <c r="AR28" s="27">
        <f>+'[16]extra'!$F$255</f>
        <v>0</v>
      </c>
      <c r="AS28" s="27">
        <f>+'[16]extra'!$G$255+'[16]extra'!$H$255</f>
        <v>0</v>
      </c>
      <c r="AT28" s="28">
        <f t="shared" si="27"/>
        <v>0</v>
      </c>
      <c r="AU28" s="27">
        <f>+'[16]extra'!$F$268</f>
        <v>0</v>
      </c>
      <c r="AV28" s="27">
        <f>+'[16]extra'!$G$268+'[16]extra'!$H$268</f>
        <v>0</v>
      </c>
      <c r="AW28" s="28">
        <f t="shared" si="28"/>
        <v>0</v>
      </c>
      <c r="AX28" s="27">
        <f>+'[16]extra'!$F$281</f>
        <v>0</v>
      </c>
      <c r="AY28" s="27">
        <f>+'[16]extra'!$G$281+'[16]extra'!$H$281</f>
        <v>0</v>
      </c>
      <c r="AZ28" s="28">
        <f t="shared" si="29"/>
        <v>0</v>
      </c>
      <c r="BA28" s="27">
        <f>+'[16]extra'!$F$294</f>
        <v>0</v>
      </c>
      <c r="BB28" s="27">
        <f>+'[16]extra'!$G$294+'[16]extra'!$H$294</f>
        <v>0</v>
      </c>
      <c r="BC28" s="28">
        <f t="shared" si="30"/>
        <v>0</v>
      </c>
      <c r="BD28" s="27">
        <f>+'[16]extra'!$F$307</f>
        <v>0</v>
      </c>
      <c r="BE28" s="27">
        <f>+'[16]extra'!$G$307+'[16]extra'!$H$307</f>
        <v>0</v>
      </c>
      <c r="BF28" s="28">
        <f t="shared" si="31"/>
        <v>0</v>
      </c>
      <c r="BG28" s="27">
        <f>+'[16]extra'!$F$320</f>
        <v>0</v>
      </c>
      <c r="BH28" s="27">
        <f>+'[16]extra'!$G$320+'[16]extra'!$H$320</f>
        <v>0</v>
      </c>
      <c r="BI28" s="28">
        <f t="shared" si="32"/>
        <v>0</v>
      </c>
      <c r="BJ28" s="27">
        <f>+'[16]extra'!$F$333</f>
        <v>0</v>
      </c>
      <c r="BK28" s="27">
        <f>+'[16]extra'!$G$333+'[16]extra'!$H$333</f>
        <v>0</v>
      </c>
      <c r="BL28" s="28">
        <f t="shared" si="33"/>
        <v>0</v>
      </c>
      <c r="BM28" s="27">
        <f>+'[16]extra'!$F$346</f>
        <v>0</v>
      </c>
      <c r="BN28" s="27">
        <f>+'[16]extra'!$G$346+'[16]extra'!$H$346</f>
        <v>0</v>
      </c>
      <c r="BO28" s="28">
        <f t="shared" si="34"/>
        <v>0</v>
      </c>
      <c r="BP28" s="27">
        <f>+'[16]extra'!$F$359</f>
        <v>0</v>
      </c>
      <c r="BQ28" s="27">
        <f>+'[16]extra'!$G$359+'[16]extra'!$H$359</f>
        <v>0</v>
      </c>
      <c r="BR28" s="28">
        <f t="shared" si="35"/>
        <v>0</v>
      </c>
      <c r="BS28" s="27">
        <f>+'[16]extra'!$F$372</f>
        <v>0</v>
      </c>
      <c r="BT28" s="27">
        <f>+'[16]extra'!$G$372+'[16]extra'!$H$372</f>
        <v>0</v>
      </c>
      <c r="BU28" s="28">
        <f t="shared" si="36"/>
        <v>0</v>
      </c>
      <c r="BV28" s="27">
        <f>+'[16]extra'!$F$385</f>
        <v>0</v>
      </c>
      <c r="BW28" s="27">
        <f>+'[16]extra'!$G$385+'[16]extra'!$H$385</f>
        <v>0</v>
      </c>
      <c r="BX28" s="28">
        <f t="shared" si="37"/>
        <v>0</v>
      </c>
      <c r="BY28" s="27">
        <f>+'[16]extra'!$F$398</f>
        <v>0</v>
      </c>
      <c r="BZ28" s="27">
        <f>+'[16]extra'!$G$398+'[16]extra'!$H$398</f>
        <v>0</v>
      </c>
      <c r="CA28" s="28">
        <f t="shared" si="38"/>
        <v>0</v>
      </c>
      <c r="CB28" s="27">
        <f>+'[16]extra'!$F$411</f>
        <v>0</v>
      </c>
      <c r="CC28" s="27">
        <f>+'[16]extra'!$G$411+'[16]extra'!$H$411</f>
        <v>0</v>
      </c>
      <c r="CD28" s="28">
        <f t="shared" si="39"/>
        <v>0</v>
      </c>
      <c r="CE28" s="27">
        <f>+'[16]extra'!$F$424</f>
        <v>0</v>
      </c>
      <c r="CF28" s="27">
        <f>+'[16]extra'!$G$424+'[16]extra'!$H$424</f>
        <v>0</v>
      </c>
      <c r="CG28" s="28">
        <f t="shared" si="40"/>
        <v>0</v>
      </c>
      <c r="CH28" s="27">
        <f>+'[16]extra'!$F$437</f>
        <v>0</v>
      </c>
      <c r="CI28" s="27">
        <f>+'[16]extra'!$G$437+'[16]extra'!$H$437</f>
        <v>0</v>
      </c>
      <c r="CJ28" s="28">
        <f t="shared" si="41"/>
        <v>0</v>
      </c>
      <c r="CK28" s="28">
        <f t="shared" si="42"/>
        <v>103808505.11474216</v>
      </c>
      <c r="CL28" s="28">
        <f t="shared" si="43"/>
        <v>0</v>
      </c>
      <c r="CM28" s="28">
        <f t="shared" si="44"/>
        <v>103808505.11474216</v>
      </c>
      <c r="CN28" s="91" t="s">
        <v>59</v>
      </c>
      <c r="CO28" s="72"/>
      <c r="CP28" s="72"/>
    </row>
    <row r="29" spans="1:94" ht="15">
      <c r="A29" s="8" t="s">
        <v>284</v>
      </c>
      <c r="B29" s="28">
        <f>+'[16]extra'!$X$73+'[16]extra'!$AA$73+'[16]extra'!$AD$73+'[16]extra'!$AG$73+'[16]extra'!$AJ$73+'[16]extra'!$AM$73</f>
        <v>62144052.59999998</v>
      </c>
      <c r="C29" s="27">
        <f>+'[16]extra'!$Y$73+'[16]extra'!$Z$73+'[16]extra'!$AB$73+'[16]extra'!$AC$73+'[16]extra'!$AE$73+'[16]extra'!$AF$73+'[16]extra'!$AH$73+'[16]extra'!$AI$73+'[16]extra'!$AK$73+'[16]extra'!$AL$73+'[16]extra'!$AN$73+'[16]extra'!$AO$73</f>
        <v>84389371.16</v>
      </c>
      <c r="D29" s="28">
        <f t="shared" si="13"/>
        <v>146533423.76</v>
      </c>
      <c r="E29" s="28">
        <f>+'[16]extra'!$X$86+'[16]extra'!$AA$86+'[16]extra'!$AD$86+'[16]extra'!$AG$86+'[16]extra'!$AJ$86+'[16]extra'!$AM$86</f>
        <v>39688857.72</v>
      </c>
      <c r="F29" s="27">
        <f>+'[16]extra'!$Y$86+'[16]extra'!$Z$86+'[16]extra'!$AB$86+'[16]extra'!$AC$86+'[16]extra'!$AE$86+'[16]extra'!$AF$86+'[16]extra'!$AH$86+'[16]extra'!$AI$86+'[16]extra'!$AK$86+'[16]extra'!$AL$86+'[16]extra'!$AN$86+'[16]extra'!$AO$86</f>
        <v>57173783.97999999</v>
      </c>
      <c r="G29" s="28">
        <f t="shared" si="14"/>
        <v>96862641.69999999</v>
      </c>
      <c r="H29" s="28">
        <f>+'[16]extra'!$X$99+'[16]extra'!$AA$99+'[16]extra'!$AD$99+'[16]extra'!$AG$99+'[16]extra'!$AJ$99+'[16]extra'!$AM$99</f>
        <v>33074049.299999837</v>
      </c>
      <c r="I29" s="27">
        <f>+'[16]extra'!$Y$99+'[16]extra'!$Z$99+'[16]extra'!$AB$99+'[16]extra'!$AC$99+'[16]extra'!$AE$99+'[16]extra'!$AF$99+'[16]extra'!$AH$99+'[16]extra'!$AI$99+'[16]extra'!$AK$99+'[16]extra'!$AL$99+'[16]extra'!$AN$99+'[16]extra'!$AO$99</f>
        <v>51340183.379999995</v>
      </c>
      <c r="J29" s="28">
        <f t="shared" si="15"/>
        <v>84414232.67999983</v>
      </c>
      <c r="K29" s="28">
        <f>+'[16]extra'!$X$112+'[16]extra'!$AA$112+'[16]extra'!$AD$112+'[16]extra'!$AG$112+'[16]extra'!$AJ$112+'[16]extra'!$AM$112</f>
        <v>0</v>
      </c>
      <c r="L29" s="27">
        <f>+'[16]extra'!$Y$112+'[16]extra'!$Z$112+'[16]extra'!$AB$112+'[16]extra'!$AC$112+'[16]extra'!$AE$112+'[16]extra'!$AF$112+'[16]extra'!$AH$112+'[16]extra'!$AI$112+'[16]extra'!$AK$112+'[16]extra'!$AL$112+'[16]extra'!$AN$112+'[16]extra'!$AO$112</f>
        <v>0</v>
      </c>
      <c r="M29" s="28">
        <f t="shared" si="16"/>
        <v>0</v>
      </c>
      <c r="N29" s="28">
        <f>+'[16]extra'!$X$125+'[16]extra'!$AA$125+'[16]extra'!$AD$125+'[16]extra'!$AG$125+'[16]extra'!$AJ$125+'[16]extra'!$AM$125</f>
        <v>0</v>
      </c>
      <c r="O29" s="27">
        <f>+'[16]extra'!$Y$125+'[16]extra'!$Z$125+'[16]extra'!$AB$125+'[16]extra'!$AC$125+'[16]extra'!$AE$125+'[16]extra'!$AF$125+'[16]extra'!$AH$125+'[16]extra'!$AI$125+'[16]extra'!$AK$125+'[16]extra'!$AL$125+'[16]extra'!$AN$125+'[16]extra'!$AO$125</f>
        <v>0</v>
      </c>
      <c r="P29" s="28">
        <f t="shared" si="17"/>
        <v>0</v>
      </c>
      <c r="Q29" s="28">
        <f>+'[16]extra'!$X$138+'[16]extra'!$AA$138+'[16]extra'!$AD$138+'[16]extra'!$AG$138+'[16]extra'!$AJ$138+'[16]extra'!$AM$138</f>
        <v>0</v>
      </c>
      <c r="R29" s="27">
        <f>+'[16]extra'!$Y$138+'[16]extra'!$Z$138+'[16]extra'!$AB$138+'[16]extra'!$AC$138+'[16]extra'!$AE$138+'[16]extra'!$AF$138+'[16]extra'!$AH$138+'[16]extra'!$AI$138+'[16]extra'!$AK$138+'[16]extra'!$AL$138+'[16]extra'!$AN$138+'[16]extra'!$AO$138</f>
        <v>0</v>
      </c>
      <c r="S29" s="28">
        <f t="shared" si="18"/>
        <v>0</v>
      </c>
      <c r="T29" s="28">
        <f>+'[16]extra'!$X$151+'[16]extra'!$AA$151+'[16]extra'!$AD$151+'[16]extra'!$AG$151+'[16]extra'!$AJ$151+'[16]extra'!$AM$151</f>
        <v>0</v>
      </c>
      <c r="U29" s="27">
        <f>+'[16]extra'!$Y$151+'[16]extra'!$Z$151+'[16]extra'!$AB$151+'[16]extra'!$AC$151+'[16]extra'!$AE$151+'[16]extra'!$AF$151+'[16]extra'!$AH$151+'[16]extra'!$AI$151+'[16]extra'!$AK$151+'[16]extra'!$AL$151+'[16]extra'!$AN$151+'[16]extra'!$AO$151</f>
        <v>0</v>
      </c>
      <c r="V29" s="28">
        <f t="shared" si="19"/>
        <v>0</v>
      </c>
      <c r="W29" s="28">
        <f>+'[16]extra'!$X$164+'[16]extra'!$AA$164+'[16]extra'!$AD$164+'[16]extra'!$AG$164+'[16]extra'!$AJ$164+'[16]extra'!$AM$164</f>
        <v>0</v>
      </c>
      <c r="X29" s="27">
        <f>+'[16]extra'!$Y$164+'[16]extra'!$Z$164+'[16]extra'!$AB$164+'[16]extra'!$AC$164+'[16]extra'!$AE$164+'[16]extra'!$AF$164+'[16]extra'!$AH$164+'[16]extra'!$AI$164+'[16]extra'!$AK$164+'[16]extra'!$AL$164+'[16]extra'!$AN$164+'[16]extra'!$AO$164</f>
        <v>0</v>
      </c>
      <c r="Y29" s="28">
        <f t="shared" si="20"/>
        <v>0</v>
      </c>
      <c r="Z29" s="28">
        <f>+'[16]extra'!$X$177+'[16]extra'!$AA$177+'[16]extra'!$AD$177+'[16]extra'!$AG$177+'[16]extra'!$AJ$177+'[16]extra'!$AM$177</f>
        <v>0</v>
      </c>
      <c r="AA29" s="27">
        <f>+'[16]extra'!$Y$177+'[16]extra'!$Z$177+'[16]extra'!$AB$177+'[16]extra'!$AC$177+'[16]extra'!$AE$177+'[16]extra'!$AF$177+'[16]extra'!$AH$177+'[16]extra'!$AI$177+'[16]extra'!$AK$177+'[16]extra'!$AL$177+'[16]extra'!$AN$177+'[16]extra'!$AO$177</f>
        <v>0</v>
      </c>
      <c r="AB29" s="28">
        <f t="shared" si="21"/>
        <v>0</v>
      </c>
      <c r="AC29" s="28">
        <f>+'[16]extra'!$X$190+'[16]extra'!$AA$190+'[16]extra'!$AD$190+'[16]extra'!$AG$190+'[16]extra'!$AJ$190+'[16]extra'!$AM$190</f>
        <v>0</v>
      </c>
      <c r="AD29" s="27">
        <f>+'[16]extra'!$Y$190+'[16]extra'!$Z$190+'[16]extra'!$AB$190+'[16]extra'!$AC$190+'[16]extra'!$AE$190+'[16]extra'!$AF$190+'[16]extra'!$AH$190+'[16]extra'!$AI$190+'[16]extra'!$AK$190+'[16]extra'!$AL$190+'[16]extra'!$AN$190+'[16]extra'!$AO$190</f>
        <v>0</v>
      </c>
      <c r="AE29" s="28">
        <f t="shared" si="22"/>
        <v>0</v>
      </c>
      <c r="AF29" s="28">
        <f>+'[16]extra'!$X$203+'[16]extra'!$AA$203+'[16]extra'!$AD$203+'[16]extra'!$AG$203+'[16]extra'!$AJ$203+'[16]extra'!$AM$203</f>
        <v>0</v>
      </c>
      <c r="AG29" s="27">
        <f>+'[16]extra'!$Y$203+'[16]extra'!$Z$203+'[16]extra'!$AB$203+'[16]extra'!$AC$203+'[16]extra'!$AE$203+'[16]extra'!$AF$203+'[16]extra'!$AH$203+'[16]extra'!$AI$203+'[16]extra'!$AK$203+'[16]extra'!$AL$203+'[16]extra'!$AN$203+'[16]extra'!$AO$203</f>
        <v>0</v>
      </c>
      <c r="AH29" s="28">
        <f t="shared" si="23"/>
        <v>0</v>
      </c>
      <c r="AI29" s="28">
        <f>+'[16]extra'!$X$216+'[16]extra'!$AA$216+'[16]extra'!$AD$216+'[16]extra'!$AG$216+'[16]extra'!$AJ$216+'[16]extra'!$AM$216</f>
        <v>0</v>
      </c>
      <c r="AJ29" s="27">
        <f>+'[16]extra'!$Y$216+'[16]extra'!$Z$216+'[16]extra'!$AB$216+'[16]extra'!$AC$216+'[16]extra'!$AE$216+'[16]extra'!$AF$216+'[16]extra'!$AH$216+'[16]extra'!$AI$216+'[16]extra'!$AK$216+'[16]extra'!$AL$216+'[16]extra'!$AN$216+'[16]extra'!$AO$216</f>
        <v>0</v>
      </c>
      <c r="AK29" s="28">
        <f t="shared" si="24"/>
        <v>0</v>
      </c>
      <c r="AL29" s="28">
        <f>+'[16]extra'!$X$229+'[16]extra'!$AA$229+'[16]extra'!$AD$229+'[16]extra'!$AG$229+'[16]extra'!$AJ$229+'[16]extra'!$AM$229</f>
        <v>0</v>
      </c>
      <c r="AM29" s="27">
        <f>+'[16]extra'!$Y$229+'[16]extra'!$Z$229+'[16]extra'!$AB$229+'[16]extra'!$AC$229+'[16]extra'!$AE$229+'[16]extra'!$AF$229+'[16]extra'!$AH$229+'[16]extra'!$AI$229+'[16]extra'!$AK$229+'[16]extra'!$AL$229+'[16]extra'!$AN$229+'[16]extra'!$AO$229</f>
        <v>0</v>
      </c>
      <c r="AN29" s="28">
        <f t="shared" si="25"/>
        <v>0</v>
      </c>
      <c r="AO29" s="28">
        <f>+'[16]extra'!$X$242+'[16]extra'!$AA$242+'[16]extra'!$AD$242+'[16]extra'!$AG$242+'[16]extra'!$AJ$242+'[16]extra'!$AM$242</f>
        <v>0</v>
      </c>
      <c r="AP29" s="27">
        <f>+'[16]extra'!$Y$242+'[16]extra'!$Z$242+'[16]extra'!$AB$242+'[16]extra'!$AC$242+'[16]extra'!$AE$242+'[16]extra'!$AF$242+'[16]extra'!$AH$242+'[16]extra'!$AI$242+'[16]extra'!$AK$242+'[16]extra'!$AL$242+'[16]extra'!$AN$242+'[16]extra'!$AO$242</f>
        <v>0</v>
      </c>
      <c r="AQ29" s="28">
        <f t="shared" si="26"/>
        <v>0</v>
      </c>
      <c r="AR29" s="28">
        <f>+'[16]extra'!$X$255+'[16]extra'!$AA$255+'[16]extra'!$AD$255+'[16]extra'!$AG$255+'[16]extra'!$AJ$255+'[16]extra'!$AM$255</f>
        <v>0</v>
      </c>
      <c r="AS29" s="27">
        <f>+'[16]extra'!$Y$255+'[16]extra'!$Z$255+'[16]extra'!$AB$255+'[16]extra'!$AC$255+'[16]extra'!$AE$255+'[16]extra'!$AF$255+'[16]extra'!$AH$255+'[16]extra'!$AI$255+'[16]extra'!$AK$255+'[16]extra'!$AL$255+'[16]extra'!$AN$255+'[16]extra'!$AO$255</f>
        <v>0</v>
      </c>
      <c r="AT29" s="28">
        <f t="shared" si="27"/>
        <v>0</v>
      </c>
      <c r="AU29" s="28">
        <f>+'[16]extra'!$X$268+'[16]extra'!$AA$268+'[16]extra'!$AD$268+'[16]extra'!$AG$268+'[16]extra'!$AJ$268+'[16]extra'!$AM$268</f>
        <v>0</v>
      </c>
      <c r="AV29" s="27">
        <f>+'[16]extra'!$Y$268+'[16]extra'!$Z$268+'[16]extra'!$AB$268+'[16]extra'!$AC$268+'[16]extra'!$AE$268+'[16]extra'!$AF$268+'[16]extra'!$AH$268+'[16]extra'!$AI$268+'[16]extra'!$AK$268+'[16]extra'!$AL$268+'[16]extra'!$AN$268+'[16]extra'!$AO$268</f>
        <v>0</v>
      </c>
      <c r="AW29" s="28">
        <f t="shared" si="28"/>
        <v>0</v>
      </c>
      <c r="AX29" s="28">
        <f>+'[16]extra'!$X$281+'[16]extra'!$AA$281+'[16]extra'!$AD$281+'[16]extra'!$AG$281+'[16]extra'!$AJ$281+'[16]extra'!$AM$281</f>
        <v>0</v>
      </c>
      <c r="AY29" s="27">
        <f>+'[16]extra'!$Y$281+'[16]extra'!$Z$281+'[16]extra'!$AB$281+'[16]extra'!$AC$281+'[16]extra'!$AE$281+'[16]extra'!$AF$281+'[16]extra'!$AH$281+'[16]extra'!$AI$281+'[16]extra'!$AK$281+'[16]extra'!$AL$281+'[16]extra'!$AN$281+'[16]extra'!$AO$281</f>
        <v>0</v>
      </c>
      <c r="AZ29" s="28">
        <f t="shared" si="29"/>
        <v>0</v>
      </c>
      <c r="BA29" s="28">
        <f>+'[16]extra'!$X$294+'[16]extra'!$AA$294+'[16]extra'!$AD$294+'[16]extra'!$AG$294+'[16]extra'!$AJ$294+'[16]extra'!$AM$294</f>
        <v>0</v>
      </c>
      <c r="BB29" s="27">
        <f>+'[16]extra'!$Y$294+'[16]extra'!$Z$294+'[16]extra'!$AB$294+'[16]extra'!$AC$294+'[16]extra'!$AE$294+'[16]extra'!$AF$294+'[16]extra'!$AH$294+'[16]extra'!$AI$294+'[16]extra'!$AK$294+'[16]extra'!$AL$294+'[16]extra'!$AN$294+'[16]extra'!$AO$294</f>
        <v>0</v>
      </c>
      <c r="BC29" s="28">
        <f t="shared" si="30"/>
        <v>0</v>
      </c>
      <c r="BD29" s="28">
        <f>+'[16]extra'!$X$307+'[16]extra'!$AA$307+'[16]extra'!$AD$307+'[16]extra'!$AG$307+'[16]extra'!$AJ$307+'[16]extra'!$AM$307</f>
        <v>0</v>
      </c>
      <c r="BE29" s="27">
        <f>+'[16]extra'!$Y$307+'[16]extra'!$Z$307+'[16]extra'!$AB$307+'[16]extra'!$AC$307+'[16]extra'!$AE$307+'[16]extra'!$AF$307+'[16]extra'!$AH$307+'[16]extra'!$AI$307+'[16]extra'!$AK$307+'[16]extra'!$AL$307+'[16]extra'!$AN$307+'[16]extra'!$AO$307</f>
        <v>0</v>
      </c>
      <c r="BF29" s="28">
        <f t="shared" si="31"/>
        <v>0</v>
      </c>
      <c r="BG29" s="28">
        <f>+'[16]extra'!$X$320+'[16]extra'!$AA$320+'[16]extra'!$AD$320+'[16]extra'!$AG$320+'[16]extra'!$AJ$320+'[16]extra'!$AM$320</f>
        <v>0</v>
      </c>
      <c r="BH29" s="27">
        <f>+'[16]extra'!$Y$320+'[16]extra'!$Z$320+'[16]extra'!$AB$320+'[16]extra'!$AC$320+'[16]extra'!$AE$320+'[16]extra'!$AF$320+'[16]extra'!$AH$320+'[16]extra'!$AI$320+'[16]extra'!$AK$320+'[16]extra'!$AL$320+'[16]extra'!$AN$320+'[16]extra'!$AO$320</f>
        <v>0</v>
      </c>
      <c r="BI29" s="28">
        <f t="shared" si="32"/>
        <v>0</v>
      </c>
      <c r="BJ29" s="28">
        <f>+'[16]extra'!$X$333+'[16]extra'!$AA$333+'[16]extra'!$AD$333+'[16]extra'!$AG$333+'[16]extra'!$AJ$333+'[16]extra'!$AM$333</f>
        <v>0</v>
      </c>
      <c r="BK29" s="27">
        <f>+'[16]extra'!$Y$333+'[16]extra'!$Z$333+'[16]extra'!$AB$333+'[16]extra'!$AC$333+'[16]extra'!$AE$333+'[16]extra'!$AF$333+'[16]extra'!$AH$333+'[16]extra'!$AI$333+'[16]extra'!$AK$333+'[16]extra'!$AL$333+'[16]extra'!$AN$333+'[16]extra'!$AO$333</f>
        <v>0</v>
      </c>
      <c r="BL29" s="28">
        <f t="shared" si="33"/>
        <v>0</v>
      </c>
      <c r="BM29" s="28">
        <f>+'[16]extra'!$X$346+'[16]extra'!$AA$346+'[16]extra'!$AD$346+'[16]extra'!$AG$346+'[16]extra'!$AJ$346+'[16]extra'!$AM$346</f>
        <v>0</v>
      </c>
      <c r="BN29" s="27">
        <f>+'[16]extra'!$Y$346+'[16]extra'!$Z$346+'[16]extra'!$AB$346+'[16]extra'!$AC$346+'[16]extra'!$AE$346+'[16]extra'!$AF$346+'[16]extra'!$AH$346+'[16]extra'!$AI$346+'[16]extra'!$AK$346+'[16]extra'!$AL$346+'[16]extra'!$AN$346+'[16]extra'!$AO$346</f>
        <v>0</v>
      </c>
      <c r="BO29" s="28">
        <f t="shared" si="34"/>
        <v>0</v>
      </c>
      <c r="BP29" s="28">
        <f>+'[16]extra'!$X$359+'[16]extra'!$AA$359+'[16]extra'!$AD$359+'[16]extra'!$AG$359+'[16]extra'!$AJ$359+'[16]extra'!$AM$359</f>
        <v>0</v>
      </c>
      <c r="BQ29" s="27">
        <f>+'[16]extra'!$Y$359+'[16]extra'!$Z$359+'[16]extra'!$AB$359+'[16]extra'!$AC$359+'[16]extra'!$AE$359+'[16]extra'!$AF$359+'[16]extra'!$AH$359+'[16]extra'!$AI$359+'[16]extra'!$AK$359+'[16]extra'!$AL$359+'[16]extra'!$AN$359+'[16]extra'!$AO$359</f>
        <v>0</v>
      </c>
      <c r="BR29" s="28">
        <f t="shared" si="35"/>
        <v>0</v>
      </c>
      <c r="BS29" s="28">
        <f>+'[16]extra'!$X$372+'[16]extra'!$AA$372+'[16]extra'!$AD$372+'[16]extra'!$AG$372+'[16]extra'!$AJ$372+'[16]extra'!$AM$372</f>
        <v>0</v>
      </c>
      <c r="BT29" s="27">
        <f>+'[16]extra'!$Y$372+'[16]extra'!$Z$372+'[16]extra'!$AB$372+'[16]extra'!$AC$372+'[16]extra'!$AE$372+'[16]extra'!$AF$372+'[16]extra'!$AH$372+'[16]extra'!$AI$372+'[16]extra'!$AK$372+'[16]extra'!$AL$372+'[16]extra'!$AN$372+'[16]extra'!$AO$372</f>
        <v>0</v>
      </c>
      <c r="BU29" s="28">
        <f t="shared" si="36"/>
        <v>0</v>
      </c>
      <c r="BV29" s="28">
        <f>+'[16]extra'!$X$385+'[16]extra'!$AA$385+'[16]extra'!$AD$385+'[16]extra'!$AG$385+'[16]extra'!$AJ$385+'[16]extra'!$AM$385</f>
        <v>0</v>
      </c>
      <c r="BW29" s="27">
        <f>+'[16]extra'!$Y$385+'[16]extra'!$Z$385+'[16]extra'!$AB$385+'[16]extra'!$AC$385+'[16]extra'!$AE$385+'[16]extra'!$AF$385+'[16]extra'!$AH$385+'[16]extra'!$AI$385+'[16]extra'!$AK$385+'[16]extra'!$AL$385+'[16]extra'!$AN$385+'[16]extra'!$AO$385</f>
        <v>0</v>
      </c>
      <c r="BX29" s="28">
        <f t="shared" si="37"/>
        <v>0</v>
      </c>
      <c r="BY29" s="28">
        <f>+'[16]extra'!$X$398+'[16]extra'!$AA$398+'[16]extra'!$AD$398+'[16]extra'!$AG$398+'[16]extra'!$AJ$398+'[16]extra'!$AM$398</f>
        <v>0</v>
      </c>
      <c r="BZ29" s="27">
        <f>+'[16]extra'!$Y$398+'[16]extra'!$Z$398+'[16]extra'!$AB$398+'[16]extra'!$AC$398+'[16]extra'!$AE$398+'[16]extra'!$AF$398+'[16]extra'!$AH$398+'[16]extra'!$AI$398+'[16]extra'!$AK$398+'[16]extra'!$AL$398+'[16]extra'!$AN$398+'[16]extra'!$AO$398</f>
        <v>0</v>
      </c>
      <c r="CA29" s="28">
        <f t="shared" si="38"/>
        <v>0</v>
      </c>
      <c r="CB29" s="28">
        <f>+'[16]extra'!$X$411+'[16]extra'!$AA$411+'[16]extra'!$AD$411+'[16]extra'!$AG$411+'[16]extra'!$AJ$411+'[16]extra'!$AM$411</f>
        <v>0</v>
      </c>
      <c r="CC29" s="27">
        <f>+'[16]extra'!$Y$411+'[16]extra'!$Z$411+'[16]extra'!$AB$411+'[16]extra'!$AC$411+'[16]extra'!$AE$411+'[16]extra'!$AF$411+'[16]extra'!$AH$411+'[16]extra'!$AI$411+'[16]extra'!$AK$411+'[16]extra'!$AL$411+'[16]extra'!$AN$411+'[16]extra'!$AO$411</f>
        <v>0</v>
      </c>
      <c r="CD29" s="28">
        <f t="shared" si="39"/>
        <v>0</v>
      </c>
      <c r="CE29" s="28">
        <f>+'[16]extra'!$X$424+'[16]extra'!$AA$424+'[16]extra'!$AD$424+'[16]extra'!$AG$424+'[16]extra'!$AJ$424+'[16]extra'!$AM$424</f>
        <v>0</v>
      </c>
      <c r="CF29" s="27">
        <f>+'[16]extra'!$Y$424+'[16]extra'!$Z$424+'[16]extra'!$AB$424+'[16]extra'!$AC$424+'[16]extra'!$AE$424+'[16]extra'!$AF$424+'[16]extra'!$AH$424+'[16]extra'!$AI$424+'[16]extra'!$AK$424+'[16]extra'!$AL$424+'[16]extra'!$AN$424+'[16]extra'!$AO$424</f>
        <v>0</v>
      </c>
      <c r="CG29" s="28">
        <f t="shared" si="40"/>
        <v>0</v>
      </c>
      <c r="CH29" s="28">
        <f>+'[16]extra'!$X$437+'[16]extra'!$AA$437+'[16]extra'!$AD$437+'[16]extra'!$AG$437+'[16]extra'!$AJ$437+'[16]extra'!$AM$437</f>
        <v>0</v>
      </c>
      <c r="CI29" s="27">
        <f>+'[16]extra'!$Y$437+'[16]extra'!$Z$437+'[16]extra'!$AB$437+'[16]extra'!$AC$437+'[16]extra'!$AE$437+'[16]extra'!$AF$437+'[16]extra'!$AH$437+'[16]extra'!$AI$437+'[16]extra'!$AK$437+'[16]extra'!$AL$437+'[16]extra'!$AN$437+'[16]extra'!$AO$437</f>
        <v>0</v>
      </c>
      <c r="CJ29" s="28">
        <f t="shared" si="41"/>
        <v>0</v>
      </c>
      <c r="CK29" s="28">
        <f t="shared" si="42"/>
        <v>134906959.61999983</v>
      </c>
      <c r="CL29" s="28">
        <f t="shared" si="43"/>
        <v>192903338.51999998</v>
      </c>
      <c r="CM29" s="28">
        <f t="shared" si="44"/>
        <v>327810298.1399998</v>
      </c>
      <c r="CN29" s="91" t="s">
        <v>60</v>
      </c>
      <c r="CO29" s="72"/>
      <c r="CP29" s="72"/>
    </row>
    <row r="30" spans="1:94" ht="15">
      <c r="A30" s="8" t="s">
        <v>285</v>
      </c>
      <c r="B30" s="6">
        <f>+'[16]extra'!$BH$73+'[16]extra'!$BK$73+'[16]extra'!$BN$73</f>
        <v>46058375.238479674</v>
      </c>
      <c r="C30" s="27">
        <f>+'[16]extra'!$BI$73+'[16]extra'!$BJ$73+'[16]extra'!$BL$73+'[16]extra'!$BM$73+'[16]extra'!$BO$73+'[16]extra'!$BP$73</f>
        <v>0</v>
      </c>
      <c r="D30" s="28">
        <f t="shared" si="13"/>
        <v>46058375.238479674</v>
      </c>
      <c r="E30" s="6">
        <f>+'[16]extra'!$BH$86+'[16]extra'!$BK$86+'[16]extra'!$BN$86</f>
        <v>48581898.71007461</v>
      </c>
      <c r="F30" s="27">
        <f>+'[16]extra'!$BI$86+'[16]extra'!$BJ$86+'[16]extra'!$BL$86+'[16]extra'!$BM$86+'[16]extra'!$BO$86+'[16]extra'!$BP$86</f>
        <v>0</v>
      </c>
      <c r="G30" s="28">
        <f t="shared" si="14"/>
        <v>48581898.71007461</v>
      </c>
      <c r="H30" s="6">
        <f>+'[16]extra'!$BH$99+'[16]extra'!$BK$99+'[16]extra'!$BN$99</f>
        <v>50898002.970531374</v>
      </c>
      <c r="I30" s="27">
        <f>+'[16]extra'!$BI$99+'[16]extra'!$BJ$99+'[16]extra'!$BL$99+'[16]extra'!$BM$99+'[16]extra'!$BO$99+'[16]extra'!$BP$99</f>
        <v>0</v>
      </c>
      <c r="J30" s="28">
        <f t="shared" si="15"/>
        <v>50898002.970531374</v>
      </c>
      <c r="K30" s="6">
        <f>+'[16]extra'!$BH$112+'[16]extra'!$BK$112+'[16]extra'!$BN$112</f>
        <v>53151719.06481214</v>
      </c>
      <c r="L30" s="27">
        <f>+'[16]extra'!$BI$112+'[16]extra'!$BJ$112+'[16]extra'!$BL$112+'[16]extra'!$BM$112+'[16]extra'!$BO$112+'[16]extra'!$BP$112</f>
        <v>0</v>
      </c>
      <c r="M30" s="28">
        <f t="shared" si="16"/>
        <v>53151719.06481214</v>
      </c>
      <c r="N30" s="6">
        <f>+'[16]extra'!$BH$125+'[16]extra'!$BK$125+'[16]extra'!$BN$125</f>
        <v>55419882.05713313</v>
      </c>
      <c r="O30" s="27">
        <f>+'[16]extra'!$BI$125+'[16]extra'!$BJ$125+'[16]extra'!$BL$125+'[16]extra'!$BM$125+'[16]extra'!$BO$125+'[16]extra'!$BP$125</f>
        <v>0</v>
      </c>
      <c r="P30" s="28">
        <f t="shared" si="17"/>
        <v>55419882.05713313</v>
      </c>
      <c r="Q30" s="6">
        <f>+'[16]extra'!$BH$138+'[16]extra'!$BK$138+'[16]extra'!$BN$138</f>
        <v>57698364.26234004</v>
      </c>
      <c r="R30" s="27">
        <f>+'[16]extra'!$BI$138+'[16]extra'!$BJ$138+'[16]extra'!$BL$138+'[16]extra'!$BM$138+'[16]extra'!$BO$138+'[16]extra'!$BP$138</f>
        <v>0</v>
      </c>
      <c r="S30" s="28">
        <f t="shared" si="18"/>
        <v>57698364.26234004</v>
      </c>
      <c r="T30" s="6">
        <f>+'[16]extra'!$BH$151+'[16]extra'!$BK$151+'[16]extra'!$BN$151</f>
        <v>59976846.46754695</v>
      </c>
      <c r="U30" s="27">
        <f>+'[16]extra'!$BI$151+'[16]extra'!$BJ$151+'[16]extra'!$BL$151+'[16]extra'!$BM$151+'[16]extra'!$BO$151+'[16]extra'!$BP$151</f>
        <v>0</v>
      </c>
      <c r="V30" s="28">
        <f t="shared" si="19"/>
        <v>59976846.46754695</v>
      </c>
      <c r="W30" s="6">
        <f>+'[16]extra'!$BH$164+'[16]extra'!$BK$164+'[16]extra'!$BN$164</f>
        <v>62255328.672753826</v>
      </c>
      <c r="X30" s="27">
        <f>+'[16]extra'!$BI$164+'[16]extra'!$BJ$164+'[16]extra'!$BL$164+'[16]extra'!$BM$164+'[16]extra'!$BO$164+'[16]extra'!$BP$164</f>
        <v>0</v>
      </c>
      <c r="Y30" s="28">
        <f t="shared" si="20"/>
        <v>62255328.672753826</v>
      </c>
      <c r="Z30" s="6">
        <f>+'[16]extra'!$BH$177+'[16]extra'!$BK$177+'[16]extra'!$BN$177</f>
        <v>39414553.55525878</v>
      </c>
      <c r="AA30" s="27">
        <f>+'[16]extra'!$BI$177+'[16]extra'!$BJ$177+'[16]extra'!$BL$177+'[16]extra'!$BM$177+'[16]extra'!$BO$177+'[16]extra'!$BP$177</f>
        <v>0</v>
      </c>
      <c r="AB30" s="28">
        <f t="shared" si="21"/>
        <v>39414553.55525878</v>
      </c>
      <c r="AC30" s="6">
        <f>+'[16]extra'!$BH$190+'[16]extra'!$BK$190+'[16]extra'!$BN$190</f>
        <v>4912150.613327993</v>
      </c>
      <c r="AD30" s="27">
        <f>+'[16]extra'!$BI$190+'[16]extra'!$BJ$190+'[16]extra'!$BL$190+'[16]extra'!$BM$190+'[16]extra'!$BO$190+'[16]extra'!$BP$190</f>
        <v>0</v>
      </c>
      <c r="AE30" s="28">
        <f t="shared" si="22"/>
        <v>4912150.613327993</v>
      </c>
      <c r="AF30" s="6">
        <f>+'[16]extra'!$BH$203+'[16]extra'!$BK$203+'[16]extra'!$BN$203</f>
        <v>916162.8829681242</v>
      </c>
      <c r="AG30" s="27">
        <f>+'[16]extra'!$BI$203+'[16]extra'!$BJ$203+'[16]extra'!$BL$203+'[16]extra'!$BM$203+'[16]extra'!$BO$203+'[16]extra'!$BP$203</f>
        <v>0</v>
      </c>
      <c r="AH30" s="28">
        <f t="shared" si="23"/>
        <v>916162.8829681242</v>
      </c>
      <c r="AI30" s="6">
        <f>+'[16]extra'!$BH$216+'[16]extra'!$BK$216+'[16]extra'!$BN$216</f>
        <v>0</v>
      </c>
      <c r="AJ30" s="27">
        <f>+'[16]extra'!$BI$216+'[16]extra'!$BJ$216+'[16]extra'!$BL$216+'[16]extra'!$BM$216+'[16]extra'!$BO$216+'[16]extra'!$BP$216</f>
        <v>0</v>
      </c>
      <c r="AK30" s="28">
        <f t="shared" si="24"/>
        <v>0</v>
      </c>
      <c r="AL30" s="6">
        <f>+'[16]extra'!$BH$229+'[16]extra'!$BK$229+'[16]extra'!$BN$229</f>
        <v>0</v>
      </c>
      <c r="AM30" s="27">
        <f>+'[16]extra'!$BI$229+'[16]extra'!$BJ$229+'[16]extra'!$BL$229+'[16]extra'!$BM$229+'[16]extra'!$BO$229+'[16]extra'!$BP$229</f>
        <v>0</v>
      </c>
      <c r="AN30" s="28">
        <f t="shared" si="25"/>
        <v>0</v>
      </c>
      <c r="AO30" s="6">
        <f>+'[16]extra'!$BH$242+'[16]extra'!$BK$242+'[16]extra'!$BN$242</f>
        <v>0</v>
      </c>
      <c r="AP30" s="27">
        <f>+'[16]extra'!$BI$242+'[16]extra'!$BJ$242+'[16]extra'!$BL$242+'[16]extra'!$BM$242+'[16]extra'!$BO$242+'[16]extra'!$BP$242</f>
        <v>0</v>
      </c>
      <c r="AQ30" s="28">
        <f t="shared" si="26"/>
        <v>0</v>
      </c>
      <c r="AR30" s="6">
        <f>+'[16]extra'!$BH$255+'[16]extra'!$BK$255+'[16]extra'!$BN$255</f>
        <v>0</v>
      </c>
      <c r="AS30" s="27">
        <f>+'[16]extra'!$BI$255+'[16]extra'!$BJ$255+'[16]extra'!$BL$255+'[16]extra'!$BM$255+'[16]extra'!$BO$255+'[16]extra'!$BP$255</f>
        <v>0</v>
      </c>
      <c r="AT30" s="28">
        <f t="shared" si="27"/>
        <v>0</v>
      </c>
      <c r="AU30" s="6">
        <f>+'[16]extra'!$BH$268+'[16]extra'!$BK$268+'[16]extra'!$BN$268</f>
        <v>0</v>
      </c>
      <c r="AV30" s="27">
        <f>+'[16]extra'!$BI$268+'[16]extra'!$BJ$268+'[16]extra'!$BL$268+'[16]extra'!$BM$268+'[16]extra'!$BO$268+'[16]extra'!$BP$268</f>
        <v>0</v>
      </c>
      <c r="AW30" s="28">
        <f t="shared" si="28"/>
        <v>0</v>
      </c>
      <c r="AX30" s="6">
        <f>+'[16]extra'!$BH$281+'[16]extra'!$BK$281+'[16]extra'!$BN$281</f>
        <v>0</v>
      </c>
      <c r="AY30" s="27">
        <f>+'[16]extra'!$BI$281+'[16]extra'!$BJ$281+'[16]extra'!$BL$281+'[16]extra'!$BM$281+'[16]extra'!$BO$281+'[16]extra'!$BP$281</f>
        <v>0</v>
      </c>
      <c r="AZ30" s="28">
        <f t="shared" si="29"/>
        <v>0</v>
      </c>
      <c r="BA30" s="6">
        <f>+'[16]extra'!$BH$294+'[16]extra'!$BK$294+'[16]extra'!$BN$294</f>
        <v>0</v>
      </c>
      <c r="BB30" s="27">
        <f>+'[16]extra'!$BI$294+'[16]extra'!$BJ$294+'[16]extra'!$BL$294+'[16]extra'!$BM$294+'[16]extra'!$BO$294+'[16]extra'!$BP$294</f>
        <v>0</v>
      </c>
      <c r="BC30" s="28">
        <f t="shared" si="30"/>
        <v>0</v>
      </c>
      <c r="BD30" s="6">
        <f>+'[16]extra'!$BH$307+'[16]extra'!$BK$307+'[16]extra'!$BN$307</f>
        <v>0</v>
      </c>
      <c r="BE30" s="27">
        <f>+'[16]extra'!$BI$307+'[16]extra'!$BJ$307+'[16]extra'!$BL$307+'[16]extra'!$BM$307+'[16]extra'!$BO$307+'[16]extra'!$BP$307</f>
        <v>0</v>
      </c>
      <c r="BF30" s="28">
        <f t="shared" si="31"/>
        <v>0</v>
      </c>
      <c r="BG30" s="6">
        <f>+'[16]extra'!$BH$320+'[16]extra'!$BK$320+'[16]extra'!$BN$320</f>
        <v>0</v>
      </c>
      <c r="BH30" s="27">
        <f>+'[16]extra'!$BI$320+'[16]extra'!$BJ$320+'[16]extra'!$BL$320+'[16]extra'!$BM$320+'[16]extra'!$BO$320+'[16]extra'!$BP$320</f>
        <v>0</v>
      </c>
      <c r="BI30" s="28">
        <f t="shared" si="32"/>
        <v>0</v>
      </c>
      <c r="BJ30" s="6">
        <f>+'[16]extra'!$BH$333+'[16]extra'!$BK$333+'[16]extra'!$BN$333</f>
        <v>0</v>
      </c>
      <c r="BK30" s="27">
        <f>+'[16]extra'!$BI$333+'[16]extra'!$BJ$333+'[16]extra'!$BL$333+'[16]extra'!$BM$333+'[16]extra'!$BO$333+'[16]extra'!$BP$333</f>
        <v>0</v>
      </c>
      <c r="BL30" s="28">
        <f t="shared" si="33"/>
        <v>0</v>
      </c>
      <c r="BM30" s="6">
        <f>+'[16]extra'!$BH$346+'[16]extra'!$BK$346+'[16]extra'!$BN$346</f>
        <v>0</v>
      </c>
      <c r="BN30" s="27">
        <f>+'[16]extra'!$BI$346+'[16]extra'!$BJ$346+'[16]extra'!$BL$346+'[16]extra'!$BM$346+'[16]extra'!$BO$346+'[16]extra'!$BP$346</f>
        <v>0</v>
      </c>
      <c r="BO30" s="28">
        <f t="shared" si="34"/>
        <v>0</v>
      </c>
      <c r="BP30" s="6">
        <f>+'[16]extra'!$BH$359+'[16]extra'!$BK$359+'[16]extra'!$BN$359</f>
        <v>0</v>
      </c>
      <c r="BQ30" s="27">
        <f>+'[16]extra'!$BI$359+'[16]extra'!$BJ$359+'[16]extra'!$BL$359+'[16]extra'!$BM$359+'[16]extra'!$BO$359+'[16]extra'!$BP$359</f>
        <v>0</v>
      </c>
      <c r="BR30" s="28">
        <f t="shared" si="35"/>
        <v>0</v>
      </c>
      <c r="BS30" s="6">
        <f>+'[16]extra'!$BH$372+'[16]extra'!$BK$372+'[16]extra'!$BN$372</f>
        <v>0</v>
      </c>
      <c r="BT30" s="27">
        <f>+'[16]extra'!$BI$372+'[16]extra'!$BJ$372+'[16]extra'!$BL$372+'[16]extra'!$BM$372+'[16]extra'!$BO$372+'[16]extra'!$BP$372</f>
        <v>0</v>
      </c>
      <c r="BU30" s="28">
        <f t="shared" si="36"/>
        <v>0</v>
      </c>
      <c r="BV30" s="6">
        <f>+'[16]extra'!$BH$385+'[16]extra'!$BK$385+'[16]extra'!$BN$385</f>
        <v>0</v>
      </c>
      <c r="BW30" s="27">
        <f>+'[16]extra'!$BI$385+'[16]extra'!$BJ$385+'[16]extra'!$BL$385+'[16]extra'!$BM$385+'[16]extra'!$BO$385+'[16]extra'!$BP$385</f>
        <v>0</v>
      </c>
      <c r="BX30" s="28">
        <f t="shared" si="37"/>
        <v>0</v>
      </c>
      <c r="BY30" s="6">
        <f>+'[16]extra'!$BH$398+'[16]extra'!$BK$398+'[16]extra'!$BN$398</f>
        <v>0</v>
      </c>
      <c r="BZ30" s="27">
        <f>+'[16]extra'!$BI$398+'[16]extra'!$BJ$398+'[16]extra'!$BL$398+'[16]extra'!$BM$398+'[16]extra'!$BO$398+'[16]extra'!$BP$398</f>
        <v>0</v>
      </c>
      <c r="CA30" s="28">
        <f t="shared" si="38"/>
        <v>0</v>
      </c>
      <c r="CB30" s="6">
        <f>+'[16]extra'!$BH$411+'[16]extra'!$BK$411+'[16]extra'!$BN$411</f>
        <v>0</v>
      </c>
      <c r="CC30" s="27">
        <f>+'[16]extra'!$BI$411+'[16]extra'!$BJ$411+'[16]extra'!$BL$411+'[16]extra'!$BM$411+'[16]extra'!$BO$411+'[16]extra'!$BP$411</f>
        <v>0</v>
      </c>
      <c r="CD30" s="28">
        <f t="shared" si="39"/>
        <v>0</v>
      </c>
      <c r="CE30" s="6">
        <f>+'[16]extra'!$BH$424+'[16]extra'!$BK$424+'[16]extra'!$BN$424</f>
        <v>0</v>
      </c>
      <c r="CF30" s="27">
        <f>+'[16]extra'!$BI$424+'[16]extra'!$BJ$424+'[16]extra'!$BL$424+'[16]extra'!$BM$424+'[16]extra'!$BO$424+'[16]extra'!$BP$424</f>
        <v>0</v>
      </c>
      <c r="CG30" s="28">
        <f t="shared" si="40"/>
        <v>0</v>
      </c>
      <c r="CH30" s="6">
        <f>+'[16]extra'!$BH$437+'[16]extra'!$BK$437+'[16]extra'!$BN$437</f>
        <v>0</v>
      </c>
      <c r="CI30" s="27">
        <f>+'[16]extra'!$BI$437+'[16]extra'!$BJ$437+'[16]extra'!$BL$437+'[16]extra'!$BM$437+'[16]extra'!$BO$437+'[16]extra'!$BP$437</f>
        <v>0</v>
      </c>
      <c r="CJ30" s="28">
        <f t="shared" si="41"/>
        <v>0</v>
      </c>
      <c r="CK30" s="28">
        <f t="shared" si="42"/>
        <v>479283284.49522656</v>
      </c>
      <c r="CL30" s="28">
        <f t="shared" si="43"/>
        <v>0</v>
      </c>
      <c r="CM30" s="28">
        <f>+CK30+CL30</f>
        <v>479283284.49522656</v>
      </c>
      <c r="CN30" s="91" t="s">
        <v>257</v>
      </c>
      <c r="CO30" s="72"/>
      <c r="CP30" s="72"/>
    </row>
    <row r="31" spans="1:94" ht="15">
      <c r="A31" s="8" t="s">
        <v>296</v>
      </c>
      <c r="B31" s="28">
        <f>+'[16]extra'!$BB$73+'[16]extra'!$BE$73</f>
        <v>126683067.6</v>
      </c>
      <c r="C31" s="28">
        <f>+'[16]extra'!$BC$73+'[16]extra'!$BD$73+'[16]extra'!$BF$73+'[16]extra'!$BG$73</f>
        <v>63638.64</v>
      </c>
      <c r="D31" s="28">
        <f t="shared" si="13"/>
        <v>126746706.24</v>
      </c>
      <c r="E31" s="28">
        <f>+'[16]extra'!$BB$86+'[16]extra'!$BE$86</f>
        <v>131460288.89999998</v>
      </c>
      <c r="F31" s="28">
        <f>+'[16]extra'!$BC$86+'[16]extra'!$BD$86+'[16]extra'!$BF$86+'[16]extra'!$BG$86</f>
        <v>792461.5199999999</v>
      </c>
      <c r="G31" s="28">
        <f t="shared" si="14"/>
        <v>132252750.41999997</v>
      </c>
      <c r="H31" s="28">
        <f>+'[16]extra'!$BB$99+'[16]extra'!$BE$99</f>
        <v>136416135.84000003</v>
      </c>
      <c r="I31" s="28">
        <f>+'[16]extra'!$BC$99+'[16]extra'!$BD$99+'[16]extra'!$BF$99+'[16]extra'!$BG$99</f>
        <v>822336.2400000001</v>
      </c>
      <c r="J31" s="28">
        <f t="shared" si="15"/>
        <v>137238472.08000004</v>
      </c>
      <c r="K31" s="28">
        <f>+'[16]extra'!$BB$112+'[16]extra'!$BE$112</f>
        <v>141559083.14999998</v>
      </c>
      <c r="L31" s="28">
        <f>+'[16]extra'!$BC$112+'[16]extra'!$BD$112+'[16]extra'!$BF$112+'[16]extra'!$BG$112</f>
        <v>853338.6000000002</v>
      </c>
      <c r="M31" s="28">
        <f t="shared" si="16"/>
        <v>142412421.74999997</v>
      </c>
      <c r="N31" s="28">
        <f>+'[16]extra'!$BB$125+'[16]extra'!$BE$125</f>
        <v>0</v>
      </c>
      <c r="O31" s="28">
        <f>+'[16]extra'!$BC$125+'[16]extra'!$BD$125+'[16]extra'!$BF$125+'[16]extra'!$BG$125</f>
        <v>0</v>
      </c>
      <c r="P31" s="28">
        <f t="shared" si="17"/>
        <v>0</v>
      </c>
      <c r="Q31" s="28">
        <f>+'[16]extra'!$BB$138+'[16]extra'!$BE$138</f>
        <v>0</v>
      </c>
      <c r="R31" s="28">
        <f>+'[16]extra'!$BC$138+'[16]extra'!$BD$138+'[16]extra'!$BF$138+'[16]extra'!$BG$138</f>
        <v>0</v>
      </c>
      <c r="S31" s="28">
        <f t="shared" si="18"/>
        <v>0</v>
      </c>
      <c r="T31" s="28">
        <f>+'[16]extra'!$BB$151+'[16]extra'!$BE$151</f>
        <v>0</v>
      </c>
      <c r="U31" s="28">
        <f>+'[16]extra'!$BC$151+'[16]extra'!$BD$151+'[16]extra'!$BF$151+'[16]extra'!$BG$151</f>
        <v>0</v>
      </c>
      <c r="V31" s="28">
        <f t="shared" si="19"/>
        <v>0</v>
      </c>
      <c r="W31" s="28">
        <f>+'[16]extra'!$BB$164+'[16]extra'!$BE$164</f>
        <v>0</v>
      </c>
      <c r="X31" s="28">
        <f>+'[16]extra'!$BC$164+'[16]extra'!$BD$164+'[16]extra'!$BF$164+'[16]extra'!$BG$164</f>
        <v>0</v>
      </c>
      <c r="Y31" s="28">
        <f t="shared" si="20"/>
        <v>0</v>
      </c>
      <c r="Z31" s="28">
        <f>+'[16]extra'!$BB$177+'[16]extra'!$BE$177</f>
        <v>0</v>
      </c>
      <c r="AA31" s="28">
        <f>+'[16]extra'!$BC$177+'[16]extra'!$BD$177+'[16]extra'!$BF$177+'[16]extra'!$BG$177</f>
        <v>0</v>
      </c>
      <c r="AB31" s="28">
        <f t="shared" si="21"/>
        <v>0</v>
      </c>
      <c r="AC31" s="28">
        <f>+'[16]extra'!$BB$190+'[16]extra'!$BE$190</f>
        <v>0</v>
      </c>
      <c r="AD31" s="28">
        <f>+'[16]extra'!$BC$190+'[16]extra'!$BD$190+'[16]extra'!$BF$190+'[16]extra'!$BG$190</f>
        <v>0</v>
      </c>
      <c r="AE31" s="28">
        <f t="shared" si="22"/>
        <v>0</v>
      </c>
      <c r="AF31" s="28">
        <f>+'[16]extra'!$BB$203+'[16]extra'!$BE$203</f>
        <v>0</v>
      </c>
      <c r="AG31" s="28">
        <f>+'[16]extra'!$BC$203+'[16]extra'!$BD$203+'[16]extra'!$BF$203+'[16]extra'!$BG$203</f>
        <v>0</v>
      </c>
      <c r="AH31" s="28">
        <f t="shared" si="23"/>
        <v>0</v>
      </c>
      <c r="AI31" s="28">
        <f>+'[16]extra'!$BB$216+'[16]extra'!$BE$216</f>
        <v>0</v>
      </c>
      <c r="AJ31" s="28">
        <f>+'[16]extra'!$BC$216+'[16]extra'!$BD$216+'[16]extra'!$BF$216+'[16]extra'!$BG$216</f>
        <v>0</v>
      </c>
      <c r="AK31" s="28">
        <f t="shared" si="24"/>
        <v>0</v>
      </c>
      <c r="AL31" s="28">
        <f>+'[16]extra'!$BB$229+'[16]extra'!$BE$229</f>
        <v>0</v>
      </c>
      <c r="AM31" s="28">
        <f>+'[16]extra'!$BC$229+'[16]extra'!$BD$229+'[16]extra'!$BF$229+'[16]extra'!$BG$229</f>
        <v>0</v>
      </c>
      <c r="AN31" s="28">
        <f t="shared" si="25"/>
        <v>0</v>
      </c>
      <c r="AO31" s="28">
        <f>+'[16]extra'!$BB$242+'[16]extra'!$BE$242</f>
        <v>0</v>
      </c>
      <c r="AP31" s="28">
        <f>+'[16]extra'!$BC$242+'[16]extra'!$BD$242+'[16]extra'!$BF$242+'[16]extra'!$BG$242</f>
        <v>0</v>
      </c>
      <c r="AQ31" s="28">
        <f t="shared" si="26"/>
        <v>0</v>
      </c>
      <c r="AR31" s="28">
        <f>+'[16]extra'!$BB$255+'[16]extra'!$BE$255</f>
        <v>0</v>
      </c>
      <c r="AS31" s="28">
        <f>+'[16]extra'!$BC$255+'[16]extra'!$BD$255+'[16]extra'!$BF$255+'[16]extra'!$BG$255</f>
        <v>0</v>
      </c>
      <c r="AT31" s="28">
        <f t="shared" si="27"/>
        <v>0</v>
      </c>
      <c r="AU31" s="28">
        <f>+'[16]extra'!$BB$268+'[16]extra'!$BE$268</f>
        <v>0</v>
      </c>
      <c r="AV31" s="28">
        <f>+'[16]extra'!$BC$268+'[16]extra'!$BD$268+'[16]extra'!$BF$268+'[16]extra'!$BG$268</f>
        <v>0</v>
      </c>
      <c r="AW31" s="28">
        <f t="shared" si="28"/>
        <v>0</v>
      </c>
      <c r="AX31" s="28">
        <f>+'[16]extra'!$BB$281+'[16]extra'!$BE$281</f>
        <v>0</v>
      </c>
      <c r="AY31" s="28">
        <f>+'[16]extra'!$BC$281+'[16]extra'!$BD$281+'[16]extra'!$BF$281+'[16]extra'!$BG$281</f>
        <v>0</v>
      </c>
      <c r="AZ31" s="28">
        <f t="shared" si="29"/>
        <v>0</v>
      </c>
      <c r="BA31" s="28">
        <f>+'[16]extra'!$BB$294+'[16]extra'!$BE$294</f>
        <v>0</v>
      </c>
      <c r="BB31" s="28">
        <f>+'[16]extra'!$BC$294+'[16]extra'!$BD$294+'[16]extra'!$BF$294+'[16]extra'!$BG$294</f>
        <v>0</v>
      </c>
      <c r="BC31" s="28">
        <f t="shared" si="30"/>
        <v>0</v>
      </c>
      <c r="BD31" s="28">
        <f>+'[16]extra'!$BB$307+'[16]extra'!$BE$307</f>
        <v>0</v>
      </c>
      <c r="BE31" s="28">
        <f>+'[16]extra'!$BC$307+'[16]extra'!$BD$307+'[16]extra'!$BF$307+'[16]extra'!$BG$307</f>
        <v>0</v>
      </c>
      <c r="BF31" s="28">
        <f t="shared" si="31"/>
        <v>0</v>
      </c>
      <c r="BG31" s="28">
        <f>+'[16]extra'!$BB$320+'[16]extra'!$BE$320</f>
        <v>0</v>
      </c>
      <c r="BH31" s="28">
        <f>+'[16]extra'!$BC$320+'[16]extra'!$BD$320+'[16]extra'!$BF$320+'[16]extra'!$BG$320</f>
        <v>0</v>
      </c>
      <c r="BI31" s="28">
        <f t="shared" si="32"/>
        <v>0</v>
      </c>
      <c r="BJ31" s="28">
        <f>+'[16]extra'!$BB$333+'[16]extra'!$BE$333</f>
        <v>0</v>
      </c>
      <c r="BK31" s="28">
        <f>+'[16]extra'!$BC$333+'[16]extra'!$BD$333+'[16]extra'!$BF$333+'[16]extra'!$BG$333</f>
        <v>0</v>
      </c>
      <c r="BL31" s="28">
        <f t="shared" si="33"/>
        <v>0</v>
      </c>
      <c r="BM31" s="28">
        <f>+'[16]extra'!$BB$346+'[16]extra'!$BE$346</f>
        <v>0</v>
      </c>
      <c r="BN31" s="28">
        <f>+'[16]extra'!$BC$346+'[16]extra'!$BD$346+'[16]extra'!$BF$346+'[16]extra'!$BG$346</f>
        <v>0</v>
      </c>
      <c r="BO31" s="28">
        <f t="shared" si="34"/>
        <v>0</v>
      </c>
      <c r="BP31" s="28">
        <f>+'[16]extra'!$BB$359+'[16]extra'!$BE$359</f>
        <v>0</v>
      </c>
      <c r="BQ31" s="28">
        <f>+'[16]extra'!$BC$359+'[16]extra'!$BD$359+'[16]extra'!$BF$359+'[16]extra'!$BG$359</f>
        <v>0</v>
      </c>
      <c r="BR31" s="28">
        <f t="shared" si="35"/>
        <v>0</v>
      </c>
      <c r="BS31" s="28">
        <f>+'[16]extra'!$BB$372+'[16]extra'!$BE$372</f>
        <v>0</v>
      </c>
      <c r="BT31" s="28">
        <f>+'[16]extra'!$BC$372+'[16]extra'!$BD$372+'[16]extra'!$BF$372+'[16]extra'!$BG$372</f>
        <v>0</v>
      </c>
      <c r="BU31" s="28">
        <f t="shared" si="36"/>
        <v>0</v>
      </c>
      <c r="BV31" s="28">
        <f>+'[16]extra'!$BB$385+'[16]extra'!$BE$385</f>
        <v>0</v>
      </c>
      <c r="BW31" s="28">
        <f>+'[16]extra'!$BC$385+'[16]extra'!$BD$385+'[16]extra'!$BF$385+'[16]extra'!$BG$385</f>
        <v>0</v>
      </c>
      <c r="BX31" s="28">
        <f t="shared" si="37"/>
        <v>0</v>
      </c>
      <c r="BY31" s="28">
        <f>+'[16]extra'!$BB$398+'[16]extra'!$BE$398</f>
        <v>0</v>
      </c>
      <c r="BZ31" s="28">
        <f>+'[16]extra'!$BC$398+'[16]extra'!$BD$398+'[16]extra'!$BF$398+'[16]extra'!$BG$398</f>
        <v>0</v>
      </c>
      <c r="CA31" s="28">
        <f t="shared" si="38"/>
        <v>0</v>
      </c>
      <c r="CB31" s="28">
        <f>+'[16]extra'!$BB$411+'[16]extra'!$BE$411</f>
        <v>0</v>
      </c>
      <c r="CC31" s="28">
        <f>+'[16]extra'!$BC$411+'[16]extra'!$BD$411+'[16]extra'!$BF$411+'[16]extra'!$BG$411</f>
        <v>0</v>
      </c>
      <c r="CD31" s="28">
        <f t="shared" si="39"/>
        <v>0</v>
      </c>
      <c r="CE31" s="28">
        <f>+'[16]extra'!$BB$424+'[16]extra'!$BE$424</f>
        <v>0</v>
      </c>
      <c r="CF31" s="28">
        <f>+'[16]extra'!$BC$424+'[16]extra'!$BD$424+'[16]extra'!$BF$424+'[16]extra'!$BG$424</f>
        <v>0</v>
      </c>
      <c r="CG31" s="28">
        <f t="shared" si="40"/>
        <v>0</v>
      </c>
      <c r="CH31" s="28">
        <f>+'[16]extra'!$BB$437+'[16]extra'!$BE$437</f>
        <v>0</v>
      </c>
      <c r="CI31" s="28">
        <f>+'[16]extra'!$BC$437+'[16]extra'!$BD$437+'[16]extra'!$BF$437+'[16]extra'!$BG$437</f>
        <v>0</v>
      </c>
      <c r="CJ31" s="28">
        <f t="shared" si="41"/>
        <v>0</v>
      </c>
      <c r="CK31" s="28">
        <f t="shared" si="42"/>
        <v>536118575.49</v>
      </c>
      <c r="CL31" s="28">
        <f t="shared" si="43"/>
        <v>2531775</v>
      </c>
      <c r="CM31" s="28">
        <f t="shared" si="44"/>
        <v>538650350.49</v>
      </c>
      <c r="CN31" s="91" t="s">
        <v>261</v>
      </c>
      <c r="CO31" s="72"/>
      <c r="CP31" s="72"/>
    </row>
    <row r="32" spans="1:94" ht="15">
      <c r="A32" s="8" t="s">
        <v>286</v>
      </c>
      <c r="B32" s="6">
        <f>+'[16]extra'!$BQ$73</f>
        <v>0</v>
      </c>
      <c r="C32" s="27">
        <f>+'[16]extra'!$BR$73+'[16]extra'!$BS$73</f>
        <v>0</v>
      </c>
      <c r="D32" s="28">
        <f>B32+C32</f>
        <v>0</v>
      </c>
      <c r="E32" s="6">
        <f>+'[16]extra'!$BQ$86</f>
        <v>0</v>
      </c>
      <c r="F32" s="27">
        <f>+'[16]extra'!$BR$86+'[16]extra'!$BS$86</f>
        <v>0</v>
      </c>
      <c r="G32" s="28">
        <f t="shared" si="14"/>
        <v>0</v>
      </c>
      <c r="H32" s="6">
        <f>+'[16]extra'!$BQ$99</f>
        <v>0</v>
      </c>
      <c r="I32" s="27">
        <f>+'[16]extra'!$BR$99+'[16]extra'!$BS$99</f>
        <v>0</v>
      </c>
      <c r="J32" s="28">
        <f t="shared" si="15"/>
        <v>0</v>
      </c>
      <c r="K32" s="6">
        <f>+'[16]extra'!$BQ$112</f>
        <v>0</v>
      </c>
      <c r="L32" s="27">
        <f>+'[16]extra'!$BR$112+'[16]extra'!$BS$112</f>
        <v>0</v>
      </c>
      <c r="M32" s="28">
        <f t="shared" si="16"/>
        <v>0</v>
      </c>
      <c r="N32" s="6">
        <f>+'[16]extra'!$BQ$125</f>
        <v>0</v>
      </c>
      <c r="O32" s="27">
        <f>+'[16]extra'!$BR$125+'[16]extra'!$BS$125</f>
        <v>0</v>
      </c>
      <c r="P32" s="28">
        <f t="shared" si="17"/>
        <v>0</v>
      </c>
      <c r="Q32" s="6">
        <f>+'[16]extra'!$BQ$138</f>
        <v>0</v>
      </c>
      <c r="R32" s="27">
        <f>+'[16]extra'!$BR$138+'[16]extra'!$BS$138</f>
        <v>0</v>
      </c>
      <c r="S32" s="28">
        <f t="shared" si="18"/>
        <v>0</v>
      </c>
      <c r="T32" s="6">
        <f>+'[16]extra'!$BQ$151</f>
        <v>0</v>
      </c>
      <c r="U32" s="27">
        <f>+'[16]extra'!$BR$151+'[16]extra'!$BS$151</f>
        <v>0</v>
      </c>
      <c r="V32" s="28">
        <f t="shared" si="19"/>
        <v>0</v>
      </c>
      <c r="W32" s="6">
        <f>+'[16]extra'!$BQ$164</f>
        <v>0</v>
      </c>
      <c r="X32" s="27">
        <f>+'[16]extra'!$BR$164+'[16]extra'!$BS$164</f>
        <v>0</v>
      </c>
      <c r="Y32" s="28">
        <f t="shared" si="20"/>
        <v>0</v>
      </c>
      <c r="Z32" s="6">
        <f>+'[16]extra'!$BQ$177</f>
        <v>0</v>
      </c>
      <c r="AA32" s="27">
        <f>+'[16]extra'!$BR$177+'[16]extra'!$BS$177</f>
        <v>0</v>
      </c>
      <c r="AB32" s="28">
        <f t="shared" si="21"/>
        <v>0</v>
      </c>
      <c r="AC32" s="6">
        <f>+'[16]extra'!$BQ$190</f>
        <v>0</v>
      </c>
      <c r="AD32" s="27">
        <f>+'[16]extra'!$BR$190+'[16]extra'!$BS$190</f>
        <v>0</v>
      </c>
      <c r="AE32" s="28">
        <f t="shared" si="22"/>
        <v>0</v>
      </c>
      <c r="AF32" s="6">
        <f>+'[16]extra'!$BQ$203</f>
        <v>0</v>
      </c>
      <c r="AG32" s="27">
        <f>+'[16]extra'!$BR$203+'[16]extra'!$BS$203</f>
        <v>0</v>
      </c>
      <c r="AH32" s="28">
        <f t="shared" si="23"/>
        <v>0</v>
      </c>
      <c r="AI32" s="6">
        <f>+'[16]extra'!$BQ$216</f>
        <v>0</v>
      </c>
      <c r="AJ32" s="27">
        <f>+'[16]extra'!$BR$216+'[16]extra'!$BS$216</f>
        <v>0</v>
      </c>
      <c r="AK32" s="28">
        <f t="shared" si="24"/>
        <v>0</v>
      </c>
      <c r="AL32" s="6">
        <f>+'[16]extra'!$BQ$229</f>
        <v>0</v>
      </c>
      <c r="AM32" s="27">
        <f>+'[16]extra'!$BR$229+'[16]extra'!$BS$229</f>
        <v>0</v>
      </c>
      <c r="AN32" s="28">
        <f t="shared" si="25"/>
        <v>0</v>
      </c>
      <c r="AO32" s="6">
        <f>+'[16]extra'!$BQ$242</f>
        <v>0</v>
      </c>
      <c r="AP32" s="27">
        <f>+'[16]extra'!$BR$242+'[16]extra'!$BS$242</f>
        <v>0</v>
      </c>
      <c r="AQ32" s="28">
        <f t="shared" si="26"/>
        <v>0</v>
      </c>
      <c r="AR32" s="6">
        <f>+'[16]extra'!$BQ$255</f>
        <v>0</v>
      </c>
      <c r="AS32" s="27">
        <f>+'[16]extra'!$BR$255+'[16]extra'!$BS$255</f>
        <v>0</v>
      </c>
      <c r="AT32" s="28">
        <f t="shared" si="27"/>
        <v>0</v>
      </c>
      <c r="AU32" s="6">
        <f>+'[16]extra'!$BQ$268</f>
        <v>0</v>
      </c>
      <c r="AV32" s="27">
        <f>+'[16]extra'!$BR$268+'[16]extra'!$BS$268</f>
        <v>0</v>
      </c>
      <c r="AW32" s="28">
        <f t="shared" si="28"/>
        <v>0</v>
      </c>
      <c r="AX32" s="6">
        <f>+'[16]extra'!$BQ$281</f>
        <v>0</v>
      </c>
      <c r="AY32" s="27">
        <f>+'[16]extra'!$BR$281+'[16]extra'!$BS$281</f>
        <v>0</v>
      </c>
      <c r="AZ32" s="28">
        <f t="shared" si="29"/>
        <v>0</v>
      </c>
      <c r="BA32" s="6">
        <f>+'[16]extra'!$BQ$294</f>
        <v>0</v>
      </c>
      <c r="BB32" s="27">
        <f>+'[16]extra'!$BR$294+'[16]extra'!$BS$294</f>
        <v>0</v>
      </c>
      <c r="BC32" s="28">
        <f t="shared" si="30"/>
        <v>0</v>
      </c>
      <c r="BD32" s="6">
        <f>+'[16]extra'!$BQ$307</f>
        <v>0</v>
      </c>
      <c r="BE32" s="27">
        <f>+'[16]extra'!$BR$307+'[16]extra'!$BS$307</f>
        <v>0</v>
      </c>
      <c r="BF32" s="28">
        <f t="shared" si="31"/>
        <v>0</v>
      </c>
      <c r="BG32" s="6">
        <f>+'[16]extra'!$BQ$320</f>
        <v>0</v>
      </c>
      <c r="BH32" s="27">
        <f>+'[16]extra'!$BR$320+'[16]extra'!$BS$320</f>
        <v>0</v>
      </c>
      <c r="BI32" s="28">
        <f t="shared" si="32"/>
        <v>0</v>
      </c>
      <c r="BJ32" s="6">
        <f>+'[16]extra'!$BQ$333</f>
        <v>0</v>
      </c>
      <c r="BK32" s="27">
        <f>+'[16]extra'!$BR$333+'[16]extra'!$BS$333</f>
        <v>0</v>
      </c>
      <c r="BL32" s="28">
        <f t="shared" si="33"/>
        <v>0</v>
      </c>
      <c r="BM32" s="6">
        <f>+'[16]extra'!$BQ$346</f>
        <v>0</v>
      </c>
      <c r="BN32" s="27">
        <f>+'[16]extra'!$BR$346+'[16]extra'!$BS$346</f>
        <v>0</v>
      </c>
      <c r="BO32" s="28">
        <f t="shared" si="34"/>
        <v>0</v>
      </c>
      <c r="BP32" s="6">
        <f>+'[16]extra'!$BQ$359</f>
        <v>0</v>
      </c>
      <c r="BQ32" s="27">
        <f>+'[16]extra'!$BR$359+'[16]extra'!$BS$359</f>
        <v>0</v>
      </c>
      <c r="BR32" s="28">
        <f t="shared" si="35"/>
        <v>0</v>
      </c>
      <c r="BS32" s="6">
        <f>+'[16]extra'!$BQ$372</f>
        <v>0</v>
      </c>
      <c r="BT32" s="27">
        <f>+'[16]extra'!$BR$372+'[16]extra'!$BS$372</f>
        <v>0</v>
      </c>
      <c r="BU32" s="28">
        <f t="shared" si="36"/>
        <v>0</v>
      </c>
      <c r="BV32" s="6">
        <f>+'[16]extra'!$BQ$385</f>
        <v>0</v>
      </c>
      <c r="BW32" s="27">
        <f>+'[16]extra'!$BR$385+'[16]extra'!$BS$385</f>
        <v>0</v>
      </c>
      <c r="BX32" s="28">
        <f t="shared" si="37"/>
        <v>0</v>
      </c>
      <c r="BY32" s="6">
        <f>+'[16]extra'!$BQ$398</f>
        <v>0</v>
      </c>
      <c r="BZ32" s="27">
        <f>+'[16]extra'!$BR$398+'[16]extra'!$BS$398</f>
        <v>0</v>
      </c>
      <c r="CA32" s="28">
        <f t="shared" si="38"/>
        <v>0</v>
      </c>
      <c r="CB32" s="6">
        <f>+'[16]extra'!$BQ$411</f>
        <v>0</v>
      </c>
      <c r="CC32" s="27">
        <f>+'[16]extra'!$BR$411+'[16]extra'!$BS$411</f>
        <v>0</v>
      </c>
      <c r="CD32" s="28">
        <f t="shared" si="39"/>
        <v>0</v>
      </c>
      <c r="CE32" s="6">
        <f>+'[16]extra'!$BQ$424</f>
        <v>0</v>
      </c>
      <c r="CF32" s="27">
        <f>+'[16]extra'!$BR$424+'[16]extra'!$BS$424</f>
        <v>0</v>
      </c>
      <c r="CG32" s="28">
        <f t="shared" si="40"/>
        <v>0</v>
      </c>
      <c r="CH32" s="6">
        <f>+'[16]extra'!$BQ$437</f>
        <v>0</v>
      </c>
      <c r="CI32" s="27">
        <f>+'[16]extra'!$BR$437+'[16]extra'!$BS$437</f>
        <v>0</v>
      </c>
      <c r="CJ32" s="28">
        <f t="shared" si="41"/>
        <v>0</v>
      </c>
      <c r="CK32" s="28">
        <f t="shared" si="42"/>
        <v>0</v>
      </c>
      <c r="CL32" s="28">
        <f t="shared" si="43"/>
        <v>0</v>
      </c>
      <c r="CM32" s="28">
        <f>+CK32+CL32</f>
        <v>0</v>
      </c>
      <c r="CN32" s="91"/>
      <c r="CO32" s="72"/>
      <c r="CP32" s="72"/>
    </row>
    <row r="33" spans="1:94" ht="15">
      <c r="A33" s="131" t="s">
        <v>233</v>
      </c>
      <c r="B33" s="29">
        <f>SUM(B34:B40)</f>
        <v>175082768.99448878</v>
      </c>
      <c r="C33" s="29">
        <f>SUM(C34:C40)</f>
        <v>739685966.0515921</v>
      </c>
      <c r="D33" s="29">
        <f>SUM(D34:D40)</f>
        <v>914768735.0460811</v>
      </c>
      <c r="E33" s="29">
        <f aca="true" t="shared" si="45" ref="E33:BP33">SUM(E34:E40)</f>
        <v>305293044.7616587</v>
      </c>
      <c r="F33" s="29">
        <f t="shared" si="45"/>
        <v>714788954.4748772</v>
      </c>
      <c r="G33" s="29">
        <f t="shared" si="45"/>
        <v>1020081999.2365359</v>
      </c>
      <c r="H33" s="29">
        <f t="shared" si="45"/>
        <v>503516954.85240996</v>
      </c>
      <c r="I33" s="29">
        <f t="shared" si="45"/>
        <v>661016495.3996463</v>
      </c>
      <c r="J33" s="29">
        <f t="shared" si="45"/>
        <v>1164533450.2520561</v>
      </c>
      <c r="K33" s="29">
        <f t="shared" si="45"/>
        <v>695681334.9839873</v>
      </c>
      <c r="L33" s="29">
        <f t="shared" si="45"/>
        <v>608654641.4346236</v>
      </c>
      <c r="M33" s="29">
        <f t="shared" si="45"/>
        <v>1304335976.4186108</v>
      </c>
      <c r="N33" s="29">
        <f t="shared" si="45"/>
        <v>704792574.954</v>
      </c>
      <c r="O33" s="29">
        <f t="shared" si="45"/>
        <v>553267032.9587481</v>
      </c>
      <c r="P33" s="29">
        <f t="shared" si="45"/>
        <v>1258059607.912748</v>
      </c>
      <c r="Q33" s="29">
        <f t="shared" si="45"/>
        <v>713294587.402</v>
      </c>
      <c r="R33" s="29">
        <f t="shared" si="45"/>
        <v>511640353.4188726</v>
      </c>
      <c r="S33" s="29">
        <f t="shared" si="45"/>
        <v>1224934940.8208725</v>
      </c>
      <c r="T33" s="29">
        <f t="shared" si="45"/>
        <v>1212704761.73592</v>
      </c>
      <c r="U33" s="29">
        <f t="shared" si="45"/>
        <v>462010527.03099716</v>
      </c>
      <c r="V33" s="29">
        <f t="shared" si="45"/>
        <v>1674715288.7669172</v>
      </c>
      <c r="W33" s="29">
        <f t="shared" si="45"/>
        <v>1033774949.55</v>
      </c>
      <c r="X33" s="29">
        <f t="shared" si="45"/>
        <v>391067216.79512167</v>
      </c>
      <c r="Y33" s="29">
        <f t="shared" si="45"/>
        <v>1424842166.3451216</v>
      </c>
      <c r="Z33" s="29">
        <f t="shared" si="45"/>
        <v>944392802.9399998</v>
      </c>
      <c r="AA33" s="29">
        <f t="shared" si="45"/>
        <v>330145180.1702461</v>
      </c>
      <c r="AB33" s="29">
        <f t="shared" si="45"/>
        <v>1274537983.110246</v>
      </c>
      <c r="AC33" s="29">
        <f t="shared" si="45"/>
        <v>856294532.7269999</v>
      </c>
      <c r="AD33" s="29">
        <f t="shared" si="45"/>
        <v>274671240.26914465</v>
      </c>
      <c r="AE33" s="29">
        <f t="shared" si="45"/>
        <v>1130965772.9961445</v>
      </c>
      <c r="AF33" s="29">
        <f t="shared" si="45"/>
        <v>769927189.407</v>
      </c>
      <c r="AG33" s="29">
        <f t="shared" si="45"/>
        <v>224945976.8084529</v>
      </c>
      <c r="AH33" s="29">
        <f t="shared" si="45"/>
        <v>994873166.2154529</v>
      </c>
      <c r="AI33" s="29">
        <f t="shared" si="45"/>
        <v>724354664.6399999</v>
      </c>
      <c r="AJ33" s="29">
        <f t="shared" si="45"/>
        <v>180036550.55030254</v>
      </c>
      <c r="AK33" s="29">
        <f t="shared" si="45"/>
        <v>904391215.1903024</v>
      </c>
      <c r="AL33" s="29">
        <f t="shared" si="45"/>
        <v>683275903.6379999</v>
      </c>
      <c r="AM33" s="29">
        <f t="shared" si="45"/>
        <v>137443085.5584143</v>
      </c>
      <c r="AN33" s="29">
        <f t="shared" si="45"/>
        <v>820718989.1964142</v>
      </c>
      <c r="AO33" s="29">
        <f t="shared" si="45"/>
        <v>594832144.9919999</v>
      </c>
      <c r="AP33" s="29">
        <f t="shared" si="45"/>
        <v>99006926.43836956</v>
      </c>
      <c r="AQ33" s="29">
        <f t="shared" si="45"/>
        <v>693839071.4303694</v>
      </c>
      <c r="AR33" s="29">
        <f t="shared" si="45"/>
        <v>472012375.11</v>
      </c>
      <c r="AS33" s="29">
        <f t="shared" si="45"/>
        <v>65851566.58254456</v>
      </c>
      <c r="AT33" s="29">
        <f t="shared" si="45"/>
        <v>537863941.6925446</v>
      </c>
      <c r="AU33" s="29">
        <f t="shared" si="45"/>
        <v>420429263.244</v>
      </c>
      <c r="AV33" s="29">
        <f t="shared" si="45"/>
        <v>36614526.730257</v>
      </c>
      <c r="AW33" s="29">
        <f t="shared" si="45"/>
        <v>457043789.974257</v>
      </c>
      <c r="AX33" s="29">
        <f t="shared" si="45"/>
        <v>196968750.71699998</v>
      </c>
      <c r="AY33" s="29">
        <f t="shared" si="45"/>
        <v>15028825.094999999</v>
      </c>
      <c r="AZ33" s="29">
        <f t="shared" si="45"/>
        <v>211997575.81199998</v>
      </c>
      <c r="BA33" s="29">
        <f t="shared" si="45"/>
        <v>96253937.86500086</v>
      </c>
      <c r="BB33" s="29">
        <f t="shared" si="45"/>
        <v>4460676.75</v>
      </c>
      <c r="BC33" s="29">
        <f t="shared" si="45"/>
        <v>100714614.61500086</v>
      </c>
      <c r="BD33" s="29">
        <f t="shared" si="45"/>
        <v>0</v>
      </c>
      <c r="BE33" s="29">
        <f t="shared" si="45"/>
        <v>0</v>
      </c>
      <c r="BF33" s="29">
        <f t="shared" si="45"/>
        <v>0</v>
      </c>
      <c r="BG33" s="29">
        <f t="shared" si="45"/>
        <v>0</v>
      </c>
      <c r="BH33" s="29">
        <f t="shared" si="45"/>
        <v>0</v>
      </c>
      <c r="BI33" s="29">
        <f t="shared" si="45"/>
        <v>0</v>
      </c>
      <c r="BJ33" s="29">
        <f t="shared" si="45"/>
        <v>0</v>
      </c>
      <c r="BK33" s="29">
        <f t="shared" si="45"/>
        <v>0</v>
      </c>
      <c r="BL33" s="29">
        <f t="shared" si="45"/>
        <v>0</v>
      </c>
      <c r="BM33" s="29">
        <f t="shared" si="45"/>
        <v>0</v>
      </c>
      <c r="BN33" s="29">
        <f t="shared" si="45"/>
        <v>0</v>
      </c>
      <c r="BO33" s="29">
        <f t="shared" si="45"/>
        <v>0</v>
      </c>
      <c r="BP33" s="29">
        <f t="shared" si="45"/>
        <v>0</v>
      </c>
      <c r="BQ33" s="29">
        <f aca="true" t="shared" si="46" ref="BQ33:CA33">SUM(BQ34:BQ40)</f>
        <v>0</v>
      </c>
      <c r="BR33" s="29">
        <f t="shared" si="46"/>
        <v>0</v>
      </c>
      <c r="BS33" s="29">
        <f t="shared" si="46"/>
        <v>0</v>
      </c>
      <c r="BT33" s="29">
        <f t="shared" si="46"/>
        <v>0</v>
      </c>
      <c r="BU33" s="29">
        <f t="shared" si="46"/>
        <v>0</v>
      </c>
      <c r="BV33" s="29">
        <f t="shared" si="46"/>
        <v>0</v>
      </c>
      <c r="BW33" s="29">
        <f t="shared" si="46"/>
        <v>0</v>
      </c>
      <c r="BX33" s="29">
        <f t="shared" si="46"/>
        <v>0</v>
      </c>
      <c r="BY33" s="29">
        <f t="shared" si="46"/>
        <v>0</v>
      </c>
      <c r="BZ33" s="29">
        <f t="shared" si="46"/>
        <v>0</v>
      </c>
      <c r="CA33" s="29">
        <f t="shared" si="46"/>
        <v>0</v>
      </c>
      <c r="CB33" s="29">
        <f aca="true" t="shared" si="47" ref="CB33:CJ33">SUM(CB34:CB40)</f>
        <v>0</v>
      </c>
      <c r="CC33" s="29">
        <f t="shared" si="47"/>
        <v>0</v>
      </c>
      <c r="CD33" s="29">
        <f t="shared" si="47"/>
        <v>0</v>
      </c>
      <c r="CE33" s="29">
        <f t="shared" si="47"/>
        <v>0</v>
      </c>
      <c r="CF33" s="29">
        <f t="shared" si="47"/>
        <v>0</v>
      </c>
      <c r="CG33" s="29">
        <f t="shared" si="47"/>
        <v>0</v>
      </c>
      <c r="CH33" s="29">
        <f t="shared" si="47"/>
        <v>0</v>
      </c>
      <c r="CI33" s="29">
        <f t="shared" si="47"/>
        <v>0</v>
      </c>
      <c r="CJ33" s="29">
        <f t="shared" si="47"/>
        <v>0</v>
      </c>
      <c r="CK33" s="29">
        <f>+B33+E33+H33+K33+N33+Q33+T33+W33+Z33+AC33+AF33+AI33+AL33+AO33+AR33+AU33+AX33+BA33+BD33+BG33+BJ33+BM33+BP33+BS33+BV33+BY33+CB33+CE33+CH33</f>
        <v>11102882542.514467</v>
      </c>
      <c r="CL33" s="29">
        <f>+C33+F33+I33+L33+O33+R33+U33+X33+AA33+AD33+AG33+AJ33+AM33+AP33+AS33+AV33+AY33+BB33+BE33+BH33+BK33+BN33+BQ33+BT33+BW33+BZ33+CC33+CF33+CI33</f>
        <v>6010335742.517212</v>
      </c>
      <c r="CM33" s="29">
        <f>SUM(CM34:CM40)</f>
        <v>17113218285.031673</v>
      </c>
      <c r="CN33" s="132"/>
      <c r="CO33" s="72"/>
      <c r="CP33" s="72"/>
    </row>
    <row r="34" spans="1:94" ht="15">
      <c r="A34" s="8" t="s">
        <v>290</v>
      </c>
      <c r="B34" s="6">
        <f>+'[16]externa'!$R$73</f>
        <v>22756297.45426042</v>
      </c>
      <c r="C34" s="27">
        <f>+'[16]externa'!$S$73+'[16]externa'!$T$73</f>
        <v>1540033.6008249999</v>
      </c>
      <c r="D34" s="28">
        <f aca="true" t="shared" si="48" ref="D34:D40">B34+C34</f>
        <v>24296331.05508542</v>
      </c>
      <c r="E34" s="6">
        <f>+'[16]externa'!$R$86</f>
        <v>0</v>
      </c>
      <c r="F34" s="27">
        <f>+'[16]externa'!$S$86+'[16]externa'!$T$86</f>
        <v>0</v>
      </c>
      <c r="G34" s="28">
        <f aca="true" t="shared" si="49" ref="G34:G40">E34+F34</f>
        <v>0</v>
      </c>
      <c r="H34" s="6">
        <f>+'[16]externa'!$R$99</f>
        <v>0</v>
      </c>
      <c r="I34" s="27">
        <f>+'[16]externa'!$S$99+'[16]externa'!$T$99</f>
        <v>0</v>
      </c>
      <c r="J34" s="28">
        <f aca="true" t="shared" si="50" ref="J34:J40">H34+I34</f>
        <v>0</v>
      </c>
      <c r="K34" s="6">
        <f>+'[16]externa'!$R$112</f>
        <v>0</v>
      </c>
      <c r="L34" s="27">
        <f>+'[16]externa'!$S$112+'[16]externa'!$T$112</f>
        <v>0</v>
      </c>
      <c r="M34" s="28">
        <f aca="true" t="shared" si="51" ref="M34:M40">K34+L34</f>
        <v>0</v>
      </c>
      <c r="N34" s="6">
        <f>+'[16]externa'!$R$125</f>
        <v>0</v>
      </c>
      <c r="O34" s="27">
        <f>+'[16]externa'!$S$125+'[16]externa'!$T$125</f>
        <v>0</v>
      </c>
      <c r="P34" s="28">
        <f aca="true" t="shared" si="52" ref="P34:P40">N34+O34</f>
        <v>0</v>
      </c>
      <c r="Q34" s="6">
        <f>+'[16]externa'!$R$138</f>
        <v>0</v>
      </c>
      <c r="R34" s="27">
        <f>+'[16]externa'!$S$138+'[16]externa'!$T$138</f>
        <v>0</v>
      </c>
      <c r="S34" s="28">
        <f aca="true" t="shared" si="53" ref="S34:S40">Q34+R34</f>
        <v>0</v>
      </c>
      <c r="T34" s="6">
        <f>+'[16]externa'!$R$151</f>
        <v>0</v>
      </c>
      <c r="U34" s="27">
        <f>+'[16]externa'!$S$151+'[16]externa'!$T$151</f>
        <v>0</v>
      </c>
      <c r="V34" s="28">
        <f aca="true" t="shared" si="54" ref="V34:V40">T34+U34</f>
        <v>0</v>
      </c>
      <c r="W34" s="6">
        <f>+'[16]externa'!$R$164</f>
        <v>0</v>
      </c>
      <c r="X34" s="27">
        <f>+'[16]externa'!$S$164+'[16]externa'!$T$164</f>
        <v>0</v>
      </c>
      <c r="Y34" s="28">
        <f aca="true" t="shared" si="55" ref="Y34:Y40">W34+X34</f>
        <v>0</v>
      </c>
      <c r="Z34" s="6">
        <f>+'[16]externa'!$R$177</f>
        <v>0</v>
      </c>
      <c r="AA34" s="27">
        <f>+'[16]externa'!$S$177+'[16]externa'!$T$177</f>
        <v>0</v>
      </c>
      <c r="AB34" s="28">
        <f aca="true" t="shared" si="56" ref="AB34:AB40">Z34+AA34</f>
        <v>0</v>
      </c>
      <c r="AC34" s="6">
        <f>+'[16]externa'!$R$190</f>
        <v>0</v>
      </c>
      <c r="AD34" s="27">
        <f>+'[16]externa'!$S$190+'[16]externa'!$T$190</f>
        <v>0</v>
      </c>
      <c r="AE34" s="28">
        <f aca="true" t="shared" si="57" ref="AE34:AE40">AC34+AD34</f>
        <v>0</v>
      </c>
      <c r="AF34" s="6">
        <f>+'[16]externa'!$R$203</f>
        <v>0</v>
      </c>
      <c r="AG34" s="27">
        <f>+'[16]externa'!$S$203+'[16]externa'!$T$203</f>
        <v>0</v>
      </c>
      <c r="AH34" s="28">
        <f aca="true" t="shared" si="58" ref="AH34:AH40">AF34+AG34</f>
        <v>0</v>
      </c>
      <c r="AI34" s="6">
        <f>+'[16]externa'!$R$216</f>
        <v>0</v>
      </c>
      <c r="AJ34" s="27">
        <f>+'[16]externa'!$S$216+'[16]externa'!$T$216</f>
        <v>0</v>
      </c>
      <c r="AK34" s="28">
        <f aca="true" t="shared" si="59" ref="AK34:AK40">AI34+AJ34</f>
        <v>0</v>
      </c>
      <c r="AL34" s="6">
        <f>+'[16]externa'!$R$229</f>
        <v>0</v>
      </c>
      <c r="AM34" s="27">
        <f>+'[16]externa'!$S$229+'[16]externa'!$T$229</f>
        <v>0</v>
      </c>
      <c r="AN34" s="28">
        <f aca="true" t="shared" si="60" ref="AN34:AN40">AL34+AM34</f>
        <v>0</v>
      </c>
      <c r="AO34" s="6">
        <f>+'[16]externa'!$R$242</f>
        <v>0</v>
      </c>
      <c r="AP34" s="27">
        <f>+'[16]externa'!$S$242+'[16]externa'!$T$242</f>
        <v>0</v>
      </c>
      <c r="AQ34" s="28">
        <f aca="true" t="shared" si="61" ref="AQ34:AQ40">AO34+AP34</f>
        <v>0</v>
      </c>
      <c r="AR34" s="6">
        <f>+'[16]externa'!$R$255</f>
        <v>0</v>
      </c>
      <c r="AS34" s="27">
        <f>+'[16]externa'!$S$255+'[16]externa'!$T$255</f>
        <v>0</v>
      </c>
      <c r="AT34" s="28">
        <f aca="true" t="shared" si="62" ref="AT34:AT40">AR34+AS34</f>
        <v>0</v>
      </c>
      <c r="AU34" s="6">
        <f>+'[16]externa'!$R$268</f>
        <v>0</v>
      </c>
      <c r="AV34" s="27">
        <f>+'[16]externa'!$S$268+'[16]externa'!$T$268</f>
        <v>0</v>
      </c>
      <c r="AW34" s="28">
        <f aca="true" t="shared" si="63" ref="AW34:AW40">AU34+AV34</f>
        <v>0</v>
      </c>
      <c r="AX34" s="6">
        <f>+'[16]externa'!$R$281</f>
        <v>0</v>
      </c>
      <c r="AY34" s="27">
        <f>+'[16]externa'!$S$281+'[16]externa'!$T$281</f>
        <v>0</v>
      </c>
      <c r="AZ34" s="28">
        <f aca="true" t="shared" si="64" ref="AZ34:AZ40">AX34+AY34</f>
        <v>0</v>
      </c>
      <c r="BA34" s="6">
        <f>+'[16]externa'!$R$294</f>
        <v>0</v>
      </c>
      <c r="BB34" s="27">
        <f>+'[16]externa'!$S$294+'[16]externa'!$T$294</f>
        <v>0</v>
      </c>
      <c r="BC34" s="28">
        <f aca="true" t="shared" si="65" ref="BC34:BC40">BA34+BB34</f>
        <v>0</v>
      </c>
      <c r="BD34" s="6">
        <f>+'[16]externa'!$R$307</f>
        <v>0</v>
      </c>
      <c r="BE34" s="27">
        <f>+'[16]externa'!$S$307+'[16]externa'!$T$307</f>
        <v>0</v>
      </c>
      <c r="BF34" s="28">
        <f aca="true" t="shared" si="66" ref="BF34:BF40">BD34+BE34</f>
        <v>0</v>
      </c>
      <c r="BG34" s="6">
        <f>+'[16]externa'!$R$320</f>
        <v>0</v>
      </c>
      <c r="BH34" s="27">
        <f>+'[16]externa'!$S$320+'[16]externa'!$T$320</f>
        <v>0</v>
      </c>
      <c r="BI34" s="28">
        <f aca="true" t="shared" si="67" ref="BI34:BI40">BG34+BH34</f>
        <v>0</v>
      </c>
      <c r="BJ34" s="6">
        <f>+'[16]externa'!$R$333</f>
        <v>0</v>
      </c>
      <c r="BK34" s="27">
        <f>+'[16]externa'!$S$333+'[16]externa'!$T$333</f>
        <v>0</v>
      </c>
      <c r="BL34" s="28">
        <f aca="true" t="shared" si="68" ref="BL34:BL40">BJ34+BK34</f>
        <v>0</v>
      </c>
      <c r="BM34" s="6">
        <f>+'[16]externa'!$R$346</f>
        <v>0</v>
      </c>
      <c r="BN34" s="27">
        <f>+'[16]externa'!$S$346+'[16]externa'!$T$346</f>
        <v>0</v>
      </c>
      <c r="BO34" s="28">
        <f aca="true" t="shared" si="69" ref="BO34:BO40">BM34+BN34</f>
        <v>0</v>
      </c>
      <c r="BP34" s="6">
        <f>+'[16]externa'!$R$359</f>
        <v>0</v>
      </c>
      <c r="BQ34" s="27">
        <f>+'[16]externa'!$S$359+'[16]externa'!$T$359</f>
        <v>0</v>
      </c>
      <c r="BR34" s="28">
        <f aca="true" t="shared" si="70" ref="BR34:BR40">BP34+BQ34</f>
        <v>0</v>
      </c>
      <c r="BS34" s="6">
        <f>+'[16]externa'!$R$372</f>
        <v>0</v>
      </c>
      <c r="BT34" s="27">
        <f>+'[16]externa'!$S$372+'[16]externa'!$T$372</f>
        <v>0</v>
      </c>
      <c r="BU34" s="28">
        <f aca="true" t="shared" si="71" ref="BU34:BU40">BS34+BT34</f>
        <v>0</v>
      </c>
      <c r="BV34" s="6">
        <f>+'[16]externa'!$R$385</f>
        <v>0</v>
      </c>
      <c r="BW34" s="27">
        <f>+'[16]externa'!$S$385+'[16]externa'!$T$385</f>
        <v>0</v>
      </c>
      <c r="BX34" s="28">
        <f aca="true" t="shared" si="72" ref="BX34:BX40">BV34+BW34</f>
        <v>0</v>
      </c>
      <c r="BY34" s="6">
        <f>+'[16]externa'!$R$398</f>
        <v>0</v>
      </c>
      <c r="BZ34" s="27">
        <f>+'[16]externa'!$S$398+'[16]externa'!$T$398</f>
        <v>0</v>
      </c>
      <c r="CA34" s="28">
        <f aca="true" t="shared" si="73" ref="CA34:CA40">BY34+BZ34</f>
        <v>0</v>
      </c>
      <c r="CB34" s="6">
        <f>+'[16]externa'!$R$411</f>
        <v>0</v>
      </c>
      <c r="CC34" s="27">
        <f>+'[16]externa'!$S$411+'[16]externa'!$T$411</f>
        <v>0</v>
      </c>
      <c r="CD34" s="28">
        <f aca="true" t="shared" si="74" ref="CD34:CD40">CB34+CC34</f>
        <v>0</v>
      </c>
      <c r="CE34" s="6">
        <f>+'[16]externa'!$R$424</f>
        <v>0</v>
      </c>
      <c r="CF34" s="27">
        <f>+'[16]externa'!$S$424+'[16]externa'!$T$424</f>
        <v>0</v>
      </c>
      <c r="CG34" s="28">
        <f aca="true" t="shared" si="75" ref="CG34:CG40">CE34+CF34</f>
        <v>0</v>
      </c>
      <c r="CH34" s="6">
        <f>+'[16]externa'!$R$437</f>
        <v>0</v>
      </c>
      <c r="CI34" s="27">
        <f>+'[16]externa'!$S$437+'[16]externa'!$T$437</f>
        <v>0</v>
      </c>
      <c r="CJ34" s="28">
        <f aca="true" t="shared" si="76" ref="CJ34:CJ40">CH34+CI34</f>
        <v>0</v>
      </c>
      <c r="CK34" s="28">
        <f t="shared" si="42"/>
        <v>22756297.45426042</v>
      </c>
      <c r="CL34" s="28">
        <f t="shared" si="42"/>
        <v>1540033.6008249999</v>
      </c>
      <c r="CM34" s="28">
        <f aca="true" t="shared" si="77" ref="CM34:CM40">CK34+CL34</f>
        <v>24296331.05508542</v>
      </c>
      <c r="CN34" s="132" t="s">
        <v>67</v>
      </c>
      <c r="CO34" s="72"/>
      <c r="CP34" s="72"/>
    </row>
    <row r="35" spans="1:94" ht="15">
      <c r="A35" s="7" t="s">
        <v>292</v>
      </c>
      <c r="B35" s="6">
        <f>+'[16]externa'!$L$73</f>
        <v>31960722.352419935</v>
      </c>
      <c r="C35" s="27">
        <f>+'[16]externa'!$M$73+'[16]externa'!$N$73</f>
        <v>607719182.5098672</v>
      </c>
      <c r="D35" s="28">
        <f t="shared" si="48"/>
        <v>639679904.8622872</v>
      </c>
      <c r="E35" s="6">
        <f>+'[16]externa'!$L$86</f>
        <v>150146749.77045244</v>
      </c>
      <c r="F35" s="27">
        <f>+'[16]externa'!$M$86+'[16]externa'!$N$86</f>
        <v>609763765.9248773</v>
      </c>
      <c r="G35" s="28">
        <f t="shared" si="49"/>
        <v>759910515.6953297</v>
      </c>
      <c r="H35" s="6">
        <f>+'[16]externa'!$L$99</f>
        <v>295258475.6951281</v>
      </c>
      <c r="I35" s="27">
        <f>+'[16]externa'!$M$99+'[16]externa'!$N$99</f>
        <v>578092891.0556462</v>
      </c>
      <c r="J35" s="28">
        <f t="shared" si="50"/>
        <v>873351366.7507743</v>
      </c>
      <c r="K35" s="6">
        <f>+'[16]externa'!$L$112</f>
        <v>437613413.59159917</v>
      </c>
      <c r="L35" s="27">
        <f>+'[16]externa'!$M$112+'[16]externa'!$N$112</f>
        <v>547958753.6886235</v>
      </c>
      <c r="M35" s="28">
        <f t="shared" si="51"/>
        <v>985572167.2802227</v>
      </c>
      <c r="N35" s="6">
        <f>+'[16]externa'!$L$125</f>
        <v>604195074.954</v>
      </c>
      <c r="O35" s="27">
        <f>+'[16]externa'!$M$125+'[16]externa'!$N$125</f>
        <v>510933011.81274813</v>
      </c>
      <c r="P35" s="28">
        <f t="shared" si="52"/>
        <v>1115128086.7667482</v>
      </c>
      <c r="Q35" s="6">
        <f>+'[16]externa'!$L$138</f>
        <v>604195074.852</v>
      </c>
      <c r="R35" s="27">
        <f>+'[16]externa'!$M$138+'[16]externa'!$N$138</f>
        <v>473755675.8028726</v>
      </c>
      <c r="S35" s="28">
        <f t="shared" si="53"/>
        <v>1077950750.6548727</v>
      </c>
      <c r="T35" s="6">
        <f>+'[16]externa'!$L$151</f>
        <v>1112107261.73592</v>
      </c>
      <c r="U35" s="27">
        <f>+'[16]externa'!$M$151+'[16]externa'!$N$151</f>
        <v>428456543.89299715</v>
      </c>
      <c r="V35" s="28">
        <f t="shared" si="54"/>
        <v>1540563805.6289172</v>
      </c>
      <c r="W35" s="6">
        <f>+'[16]externa'!$L$164</f>
        <v>933177449.55</v>
      </c>
      <c r="X35" s="27">
        <f>+'[16]externa'!$M$164+'[16]externa'!$N$164</f>
        <v>361843928.08412164</v>
      </c>
      <c r="Y35" s="28">
        <f t="shared" si="55"/>
        <v>1295021377.6341217</v>
      </c>
      <c r="Z35" s="6">
        <f>+'[16]externa'!$L$177</f>
        <v>843795302.9399998</v>
      </c>
      <c r="AA35" s="27">
        <f>+'[16]externa'!$M$177+'[16]externa'!$N$177</f>
        <v>305181396.36324614</v>
      </c>
      <c r="AB35" s="28">
        <f t="shared" si="56"/>
        <v>1148976699.303246</v>
      </c>
      <c r="AC35" s="6">
        <f>+'[16]externa'!$L$190</f>
        <v>755697032.7269999</v>
      </c>
      <c r="AD35" s="27">
        <f>+'[16]externa'!$M$190+'[16]externa'!$N$190</f>
        <v>254109340.41214466</v>
      </c>
      <c r="AE35" s="28">
        <f t="shared" si="57"/>
        <v>1009806373.1391445</v>
      </c>
      <c r="AF35" s="6">
        <f>+'[16]externa'!$L$203</f>
        <v>669329689.407</v>
      </c>
      <c r="AG35" s="27">
        <f>+'[16]externa'!$M$203+'[16]externa'!$N$203</f>
        <v>208714771.3784529</v>
      </c>
      <c r="AH35" s="28">
        <f t="shared" si="58"/>
        <v>878044460.7854528</v>
      </c>
      <c r="AI35" s="6">
        <f>+'[16]externa'!$L$216</f>
        <v>623757164.6399999</v>
      </c>
      <c r="AJ35" s="27">
        <f>+'[16]externa'!$M$216+'[16]externa'!$N$216</f>
        <v>168136039.54730254</v>
      </c>
      <c r="AK35" s="28">
        <f t="shared" si="59"/>
        <v>791893204.1873024</v>
      </c>
      <c r="AL35" s="6">
        <f>+'[16]externa'!$L$229</f>
        <v>582678403.6379999</v>
      </c>
      <c r="AM35" s="27">
        <f>+'[16]externa'!$M$229+'[16]externa'!$N$229</f>
        <v>129849539.14141431</v>
      </c>
      <c r="AN35" s="28">
        <f t="shared" si="60"/>
        <v>712527942.7794142</v>
      </c>
      <c r="AO35" s="6">
        <f>+'[16]externa'!$L$242</f>
        <v>494234644.9919999</v>
      </c>
      <c r="AP35" s="27">
        <f>+'[16]externa'!$M$242+'[16]externa'!$N$242</f>
        <v>95767804.34036955</v>
      </c>
      <c r="AQ35" s="28">
        <f t="shared" si="61"/>
        <v>590002449.3323694</v>
      </c>
      <c r="AR35" s="6">
        <f>+'[16]externa'!$L$255</f>
        <v>472012375.11</v>
      </c>
      <c r="AS35" s="27">
        <f>+'[16]externa'!$M$255+'[16]externa'!$N$255</f>
        <v>65851566.58254456</v>
      </c>
      <c r="AT35" s="28">
        <f t="shared" si="62"/>
        <v>537863941.6925446</v>
      </c>
      <c r="AU35" s="6">
        <f>+'[16]externa'!$L$268</f>
        <v>420429263.244</v>
      </c>
      <c r="AV35" s="27">
        <f>+'[16]externa'!$M$268+'[16]externa'!$N$268</f>
        <v>36614526.730257</v>
      </c>
      <c r="AW35" s="28">
        <f t="shared" si="63"/>
        <v>457043789.974257</v>
      </c>
      <c r="AX35" s="6">
        <f>+'[16]externa'!$L$281</f>
        <v>196968750.71699998</v>
      </c>
      <c r="AY35" s="27">
        <f>+'[16]externa'!$M$281+'[16]externa'!$N$281</f>
        <v>15028825.094999999</v>
      </c>
      <c r="AZ35" s="28">
        <f t="shared" si="64"/>
        <v>211997575.81199998</v>
      </c>
      <c r="BA35" s="6">
        <f>+'[16]externa'!$L$294</f>
        <v>96253937.86500086</v>
      </c>
      <c r="BB35" s="27">
        <f>+'[16]externa'!$M$294+'[16]externa'!$N$294</f>
        <v>4460676.75</v>
      </c>
      <c r="BC35" s="28">
        <f t="shared" si="65"/>
        <v>100714614.61500086</v>
      </c>
      <c r="BD35" s="6">
        <f>+'[16]externa'!$L$307</f>
        <v>0</v>
      </c>
      <c r="BE35" s="27">
        <f>+'[16]externa'!$M$307+'[16]externa'!$N$307</f>
        <v>0</v>
      </c>
      <c r="BF35" s="28">
        <f t="shared" si="66"/>
        <v>0</v>
      </c>
      <c r="BG35" s="6">
        <f>+'[16]externa'!$L$320</f>
        <v>0</v>
      </c>
      <c r="BH35" s="27">
        <f>+'[16]externa'!$M$320+'[16]externa'!$N$320</f>
        <v>0</v>
      </c>
      <c r="BI35" s="28">
        <f t="shared" si="67"/>
        <v>0</v>
      </c>
      <c r="BJ35" s="6">
        <f>+'[16]externa'!$L$333</f>
        <v>0</v>
      </c>
      <c r="BK35" s="27">
        <f>+'[16]externa'!$M$333+'[16]externa'!$N$333</f>
        <v>0</v>
      </c>
      <c r="BL35" s="28">
        <f t="shared" si="68"/>
        <v>0</v>
      </c>
      <c r="BM35" s="6">
        <f>+'[16]externa'!$L$346</f>
        <v>0</v>
      </c>
      <c r="BN35" s="27">
        <f>+'[16]externa'!$M$346+'[16]externa'!$N$346</f>
        <v>0</v>
      </c>
      <c r="BO35" s="28">
        <f t="shared" si="69"/>
        <v>0</v>
      </c>
      <c r="BP35" s="6">
        <f>+'[16]externa'!$L$359</f>
        <v>0</v>
      </c>
      <c r="BQ35" s="27">
        <f>+'[16]externa'!$M$359+'[16]externa'!$N$359</f>
        <v>0</v>
      </c>
      <c r="BR35" s="28">
        <f t="shared" si="70"/>
        <v>0</v>
      </c>
      <c r="BS35" s="6">
        <f>+'[16]externa'!$L$372</f>
        <v>0</v>
      </c>
      <c r="BT35" s="27">
        <f>+'[16]externa'!$M$372+'[16]externa'!$N$372</f>
        <v>0</v>
      </c>
      <c r="BU35" s="28">
        <f t="shared" si="71"/>
        <v>0</v>
      </c>
      <c r="BV35" s="6">
        <f>+'[16]externa'!$L$385</f>
        <v>0</v>
      </c>
      <c r="BW35" s="27">
        <f>+'[16]externa'!$M$385+'[16]externa'!$N$385</f>
        <v>0</v>
      </c>
      <c r="BX35" s="28">
        <f t="shared" si="72"/>
        <v>0</v>
      </c>
      <c r="BY35" s="6">
        <f>+'[16]externa'!$L$398</f>
        <v>0</v>
      </c>
      <c r="BZ35" s="27">
        <f>+'[16]externa'!$M$398+'[16]externa'!$N$398</f>
        <v>0</v>
      </c>
      <c r="CA35" s="28">
        <f t="shared" si="73"/>
        <v>0</v>
      </c>
      <c r="CB35" s="6">
        <f>+'[16]externa'!$L$411</f>
        <v>0</v>
      </c>
      <c r="CC35" s="27">
        <f>+'[16]externa'!$M$411+'[16]externa'!$N$411</f>
        <v>0</v>
      </c>
      <c r="CD35" s="28">
        <f t="shared" si="74"/>
        <v>0</v>
      </c>
      <c r="CE35" s="6">
        <f>+'[16]externa'!$L$424</f>
        <v>0</v>
      </c>
      <c r="CF35" s="27">
        <f>+'[16]externa'!$M$424+'[16]externa'!$N$424</f>
        <v>0</v>
      </c>
      <c r="CG35" s="28">
        <f t="shared" si="75"/>
        <v>0</v>
      </c>
      <c r="CH35" s="6">
        <f>+'[16]externa'!$L$437</f>
        <v>0</v>
      </c>
      <c r="CI35" s="27">
        <f>+'[16]externa'!$M$437+'[16]externa'!$N$437</f>
        <v>0</v>
      </c>
      <c r="CJ35" s="28">
        <f t="shared" si="76"/>
        <v>0</v>
      </c>
      <c r="CK35" s="28">
        <f aca="true" t="shared" si="78" ref="CK35:CK40">+B35+E35+H35+K35+N35+Q35+T35+W35+Z35+AC35+AF35+AI35+AL35+AO35+AR35+AU35+AX35+BA35+BD35+BG35+BJ35+BM35+BP35+BS35+BV35+BY35+CB35+CE35+CH35</f>
        <v>9323810787.781519</v>
      </c>
      <c r="CL35" s="28">
        <f aca="true" t="shared" si="79" ref="CL35:CL40">+C35+F35+I35+L35+O35+R35+U35+X35+AA35+AD35+AG35+AJ35+AM35+AP35+AS35+AV35+AY35+BB35+BE35+BH35+BK35+BN35+BQ35+BT35+BW35+BZ35+CC35+CF35+CI35</f>
        <v>5402238239.112486</v>
      </c>
      <c r="CM35" s="28">
        <f t="shared" si="77"/>
        <v>14726049026.894005</v>
      </c>
      <c r="CN35" s="132" t="s">
        <v>128</v>
      </c>
      <c r="CO35" s="72"/>
      <c r="CP35" s="72"/>
    </row>
    <row r="36" spans="1:94" ht="15">
      <c r="A36" s="7" t="s">
        <v>289</v>
      </c>
      <c r="B36" s="6">
        <f>+'[16]externa'!$I$73</f>
        <v>53588433.773681566</v>
      </c>
      <c r="C36" s="27">
        <f>+'[16]externa'!$J$73+'[16]externa'!$K$73</f>
        <v>31611108.3976</v>
      </c>
      <c r="D36" s="28">
        <f t="shared" si="48"/>
        <v>85199542.17128156</v>
      </c>
      <c r="E36" s="6">
        <f>+'[16]externa'!$I$86</f>
        <v>46529941.03283628</v>
      </c>
      <c r="F36" s="27">
        <f>+'[16]externa'!$J$86+'[16]externa'!$K$86</f>
        <v>20951247</v>
      </c>
      <c r="G36" s="28">
        <f t="shared" si="49"/>
        <v>67481188.03283629</v>
      </c>
      <c r="H36" s="6">
        <f>+'[16]externa'!$I$99</f>
        <v>60798032.37221116</v>
      </c>
      <c r="I36" s="27">
        <f>+'[16]externa'!$J$99+'[16]externa'!$K$99</f>
        <v>13439272.644000001</v>
      </c>
      <c r="J36" s="28">
        <f t="shared" si="50"/>
        <v>74237305.01621115</v>
      </c>
      <c r="K36" s="6">
        <f>+'[16]externa'!$I$112</f>
        <v>73856379.13003616</v>
      </c>
      <c r="L36" s="27">
        <f>+'[16]externa'!$J$112+'[16]externa'!$K$112</f>
        <v>5828255.979</v>
      </c>
      <c r="M36" s="28">
        <f t="shared" si="51"/>
        <v>79684635.10903616</v>
      </c>
      <c r="N36" s="6">
        <f>+'[16]externa'!$I$125</f>
        <v>0</v>
      </c>
      <c r="O36" s="27">
        <f>+'[16]externa'!$J$125+'[16]externa'!$K$125</f>
        <v>0</v>
      </c>
      <c r="P36" s="28">
        <f t="shared" si="52"/>
        <v>0</v>
      </c>
      <c r="Q36" s="6">
        <f>+'[16]externa'!$I$138</f>
        <v>0</v>
      </c>
      <c r="R36" s="27">
        <f>+'[16]externa'!$J$138+'[16]externa'!$K$138</f>
        <v>0</v>
      </c>
      <c r="S36" s="28">
        <f t="shared" si="53"/>
        <v>0</v>
      </c>
      <c r="T36" s="6">
        <f>+'[16]externa'!$I$151</f>
        <v>0</v>
      </c>
      <c r="U36" s="27">
        <f>+'[16]externa'!$J$151+'[16]externa'!$K$151</f>
        <v>0</v>
      </c>
      <c r="V36" s="28">
        <f t="shared" si="54"/>
        <v>0</v>
      </c>
      <c r="W36" s="6">
        <f>+'[16]externa'!$I$164</f>
        <v>0</v>
      </c>
      <c r="X36" s="27">
        <f>+'[16]externa'!$J$164+'[16]externa'!$K$164</f>
        <v>0</v>
      </c>
      <c r="Y36" s="28">
        <f t="shared" si="55"/>
        <v>0</v>
      </c>
      <c r="Z36" s="6">
        <f>+'[16]externa'!$I$177</f>
        <v>0</v>
      </c>
      <c r="AA36" s="27">
        <f>+'[16]externa'!$J$177+'[16]externa'!$K$177</f>
        <v>0</v>
      </c>
      <c r="AB36" s="28">
        <f t="shared" si="56"/>
        <v>0</v>
      </c>
      <c r="AC36" s="6">
        <f>+'[16]externa'!$I$190</f>
        <v>0</v>
      </c>
      <c r="AD36" s="27">
        <f>+'[16]externa'!$J$190+'[16]externa'!$K$190</f>
        <v>0</v>
      </c>
      <c r="AE36" s="28">
        <f t="shared" si="57"/>
        <v>0</v>
      </c>
      <c r="AF36" s="6">
        <f>+'[16]externa'!$I$203</f>
        <v>0</v>
      </c>
      <c r="AG36" s="27">
        <f>+'[16]externa'!$J$203+'[16]externa'!$K$203</f>
        <v>0</v>
      </c>
      <c r="AH36" s="28">
        <f t="shared" si="58"/>
        <v>0</v>
      </c>
      <c r="AI36" s="6">
        <f>+'[16]externa'!$I$216</f>
        <v>0</v>
      </c>
      <c r="AJ36" s="27">
        <f>+'[16]externa'!$J$216+'[16]externa'!$K$216</f>
        <v>0</v>
      </c>
      <c r="AK36" s="28">
        <f t="shared" si="59"/>
        <v>0</v>
      </c>
      <c r="AL36" s="6">
        <f>+'[16]externa'!$I$229</f>
        <v>0</v>
      </c>
      <c r="AM36" s="27">
        <f>+'[16]externa'!$J$229+'[16]externa'!$K$229</f>
        <v>0</v>
      </c>
      <c r="AN36" s="28">
        <f t="shared" si="60"/>
        <v>0</v>
      </c>
      <c r="AO36" s="6">
        <f>+'[16]externa'!$I$242</f>
        <v>0</v>
      </c>
      <c r="AP36" s="27">
        <f>+'[16]externa'!$J$242+'[16]externa'!$K$242</f>
        <v>0</v>
      </c>
      <c r="AQ36" s="28">
        <f t="shared" si="61"/>
        <v>0</v>
      </c>
      <c r="AR36" s="6">
        <f>+'[16]externa'!$I$255</f>
        <v>0</v>
      </c>
      <c r="AS36" s="27">
        <f>+'[16]externa'!$J$255+'[16]externa'!$K$255</f>
        <v>0</v>
      </c>
      <c r="AT36" s="28">
        <f t="shared" si="62"/>
        <v>0</v>
      </c>
      <c r="AU36" s="6">
        <f>+'[16]externa'!$I$268</f>
        <v>0</v>
      </c>
      <c r="AV36" s="27">
        <f>+'[16]externa'!$J$268+'[16]externa'!$K$268</f>
        <v>0</v>
      </c>
      <c r="AW36" s="28">
        <f t="shared" si="63"/>
        <v>0</v>
      </c>
      <c r="AX36" s="6">
        <f>+'[16]externa'!$I$281</f>
        <v>0</v>
      </c>
      <c r="AY36" s="27">
        <f>+'[16]externa'!$J$281+'[16]externa'!$K$281</f>
        <v>0</v>
      </c>
      <c r="AZ36" s="28">
        <f t="shared" si="64"/>
        <v>0</v>
      </c>
      <c r="BA36" s="6">
        <f>+'[16]externa'!$I$294</f>
        <v>0</v>
      </c>
      <c r="BB36" s="27">
        <f>+'[16]externa'!$J$294+'[16]externa'!$K$294</f>
        <v>0</v>
      </c>
      <c r="BC36" s="28">
        <f t="shared" si="65"/>
        <v>0</v>
      </c>
      <c r="BD36" s="6">
        <f>+'[16]externa'!$I$307</f>
        <v>0</v>
      </c>
      <c r="BE36" s="27">
        <f>+'[16]externa'!$J$307+'[16]externa'!$K$307</f>
        <v>0</v>
      </c>
      <c r="BF36" s="28">
        <f t="shared" si="66"/>
        <v>0</v>
      </c>
      <c r="BG36" s="6">
        <f>+'[16]externa'!$I$320</f>
        <v>0</v>
      </c>
      <c r="BH36" s="27">
        <f>+'[16]externa'!$J$320+'[16]externa'!$K$320</f>
        <v>0</v>
      </c>
      <c r="BI36" s="28">
        <f t="shared" si="67"/>
        <v>0</v>
      </c>
      <c r="BJ36" s="6">
        <f>+'[16]externa'!$I$333</f>
        <v>0</v>
      </c>
      <c r="BK36" s="27">
        <f>+'[16]externa'!$J$333+'[16]externa'!$K$333</f>
        <v>0</v>
      </c>
      <c r="BL36" s="28">
        <f t="shared" si="68"/>
        <v>0</v>
      </c>
      <c r="BM36" s="6">
        <f>+'[16]externa'!$I$346</f>
        <v>0</v>
      </c>
      <c r="BN36" s="27">
        <f>+'[16]externa'!$J$346+'[16]externa'!$K$346</f>
        <v>0</v>
      </c>
      <c r="BO36" s="28">
        <f t="shared" si="69"/>
        <v>0</v>
      </c>
      <c r="BP36" s="6">
        <f>+'[16]externa'!$I$359</f>
        <v>0</v>
      </c>
      <c r="BQ36" s="27">
        <f>+'[16]externa'!$J$359+'[16]externa'!$K$359</f>
        <v>0</v>
      </c>
      <c r="BR36" s="28">
        <f t="shared" si="70"/>
        <v>0</v>
      </c>
      <c r="BS36" s="6">
        <f>+'[16]externa'!$I$372</f>
        <v>0</v>
      </c>
      <c r="BT36" s="27">
        <f>+'[16]externa'!$J$372+'[16]externa'!$K$372</f>
        <v>0</v>
      </c>
      <c r="BU36" s="28">
        <f t="shared" si="71"/>
        <v>0</v>
      </c>
      <c r="BV36" s="6">
        <f>+'[16]externa'!$I$385</f>
        <v>0</v>
      </c>
      <c r="BW36" s="27">
        <f>+'[16]externa'!$J$385+'[16]externa'!$K$385</f>
        <v>0</v>
      </c>
      <c r="BX36" s="28">
        <f t="shared" si="72"/>
        <v>0</v>
      </c>
      <c r="BY36" s="6">
        <f>+'[16]externa'!$I$398</f>
        <v>0</v>
      </c>
      <c r="BZ36" s="27">
        <f>+'[16]externa'!$J$398+'[16]externa'!$K$398</f>
        <v>0</v>
      </c>
      <c r="CA36" s="28">
        <f t="shared" si="73"/>
        <v>0</v>
      </c>
      <c r="CB36" s="6">
        <f>+'[16]externa'!$I$411</f>
        <v>0</v>
      </c>
      <c r="CC36" s="27">
        <f>+'[16]externa'!$J$411+'[16]externa'!$K$411</f>
        <v>0</v>
      </c>
      <c r="CD36" s="28">
        <f t="shared" si="74"/>
        <v>0</v>
      </c>
      <c r="CE36" s="6">
        <f>+'[16]externa'!$I$424</f>
        <v>0</v>
      </c>
      <c r="CF36" s="27">
        <f>+'[16]externa'!$J$424+'[16]externa'!$K$424</f>
        <v>0</v>
      </c>
      <c r="CG36" s="28">
        <f t="shared" si="75"/>
        <v>0</v>
      </c>
      <c r="CH36" s="6">
        <f>+'[16]externa'!$I$437</f>
        <v>0</v>
      </c>
      <c r="CI36" s="27">
        <f>+'[16]externa'!$J$437+'[16]externa'!$K$437</f>
        <v>0</v>
      </c>
      <c r="CJ36" s="28">
        <f t="shared" si="76"/>
        <v>0</v>
      </c>
      <c r="CK36" s="28">
        <f t="shared" si="78"/>
        <v>234772786.30876517</v>
      </c>
      <c r="CL36" s="28">
        <f t="shared" si="79"/>
        <v>71829884.02059999</v>
      </c>
      <c r="CM36" s="28">
        <f t="shared" si="77"/>
        <v>306602670.32936513</v>
      </c>
      <c r="CN36" s="132" t="s">
        <v>76</v>
      </c>
      <c r="CO36" s="4"/>
      <c r="CP36" s="72"/>
    </row>
    <row r="37" spans="1:94" ht="15">
      <c r="A37" s="7" t="s">
        <v>291</v>
      </c>
      <c r="B37" s="6">
        <f>+'[16]externa'!$U$73</f>
        <v>23483289.48213309</v>
      </c>
      <c r="C37" s="27">
        <f>+'[16]externa'!$V$73+'[16]externa'!$W$73</f>
        <v>58425453.2605</v>
      </c>
      <c r="D37" s="28">
        <f t="shared" si="48"/>
        <v>81908742.74263309</v>
      </c>
      <c r="E37" s="6">
        <f>+'[16]externa'!$U$86</f>
        <v>42611591.079795</v>
      </c>
      <c r="F37" s="27">
        <f>+'[16]externa'!$V$86+'[16]externa'!$W$86</f>
        <v>54124956.15</v>
      </c>
      <c r="G37" s="28">
        <f t="shared" si="49"/>
        <v>96736547.22979501</v>
      </c>
      <c r="H37" s="6">
        <f>+'[16]externa'!$U$99</f>
        <v>61152670.92749471</v>
      </c>
      <c r="I37" s="27">
        <f>+'[16]externa'!$V$99+'[16]externa'!$W$99</f>
        <v>50278210.7688</v>
      </c>
      <c r="J37" s="28">
        <f t="shared" si="50"/>
        <v>111430881.69629471</v>
      </c>
      <c r="K37" s="6">
        <f>+'[16]externa'!$U$112</f>
        <v>79335254.64508498</v>
      </c>
      <c r="L37" s="27">
        <f>+'[16]externa'!$V$112+'[16]externa'!$W$112</f>
        <v>46546066.47</v>
      </c>
      <c r="M37" s="28">
        <f t="shared" si="51"/>
        <v>125881321.11508498</v>
      </c>
      <c r="N37" s="6">
        <f>+'[16]externa'!$U$125</f>
        <v>100597499.99999999</v>
      </c>
      <c r="O37" s="27">
        <f>+'[16]externa'!$V$125+'[16]externa'!$W$125</f>
        <v>42334021.146</v>
      </c>
      <c r="P37" s="28">
        <f t="shared" si="52"/>
        <v>142931521.14599997</v>
      </c>
      <c r="Q37" s="6">
        <f>+'[16]externa'!$U$138</f>
        <v>100597499.99999999</v>
      </c>
      <c r="R37" s="27">
        <f>+'[16]externa'!$V$138+'[16]externa'!$W$138</f>
        <v>37884677.616</v>
      </c>
      <c r="S37" s="28">
        <f t="shared" si="53"/>
        <v>138482177.616</v>
      </c>
      <c r="T37" s="6">
        <f>+'[16]externa'!$U$151</f>
        <v>100597499.99999999</v>
      </c>
      <c r="U37" s="27">
        <f>+'[16]externa'!$V$151+'[16]externa'!$W$151</f>
        <v>33553983.137999997</v>
      </c>
      <c r="V37" s="28">
        <f t="shared" si="54"/>
        <v>134151483.13799998</v>
      </c>
      <c r="W37" s="6">
        <f>+'[16]externa'!$U$164</f>
        <v>100597500</v>
      </c>
      <c r="X37" s="27">
        <f>+'[16]externa'!$V$164+'[16]externa'!$W$164</f>
        <v>29223288.711</v>
      </c>
      <c r="Y37" s="28">
        <f t="shared" si="55"/>
        <v>129820788.711</v>
      </c>
      <c r="Z37" s="6">
        <f>+'[16]externa'!$U$177</f>
        <v>100597500</v>
      </c>
      <c r="AA37" s="27">
        <f>+'[16]externa'!$V$177+'[16]externa'!$W$177</f>
        <v>24963783.807</v>
      </c>
      <c r="AB37" s="28">
        <f t="shared" si="56"/>
        <v>125561283.807</v>
      </c>
      <c r="AC37" s="6">
        <f>+'[16]externa'!$U$190</f>
        <v>100597500</v>
      </c>
      <c r="AD37" s="27">
        <f>+'[16]externa'!$V$190+'[16]externa'!$W$190</f>
        <v>20561899.857</v>
      </c>
      <c r="AE37" s="28">
        <f t="shared" si="57"/>
        <v>121159399.857</v>
      </c>
      <c r="AF37" s="6">
        <f>+'[16]externa'!$U$203</f>
        <v>100597500</v>
      </c>
      <c r="AG37" s="27">
        <f>+'[16]externa'!$V$203+'[16]externa'!$W$203</f>
        <v>16231205.43</v>
      </c>
      <c r="AH37" s="28">
        <f t="shared" si="58"/>
        <v>116828705.43</v>
      </c>
      <c r="AI37" s="6">
        <f>+'[16]externa'!$U$216</f>
        <v>100597500</v>
      </c>
      <c r="AJ37" s="27">
        <f>+'[16]externa'!$V$216+'[16]externa'!$W$216</f>
        <v>11900511.002999999</v>
      </c>
      <c r="AK37" s="28">
        <f t="shared" si="59"/>
        <v>112498011.00299999</v>
      </c>
      <c r="AL37" s="6">
        <f>+'[16]externa'!$U$229</f>
        <v>100597500</v>
      </c>
      <c r="AM37" s="27">
        <f>+'[16]externa'!$V$229+'[16]externa'!$W$229</f>
        <v>7593546.416999999</v>
      </c>
      <c r="AN37" s="28">
        <f t="shared" si="60"/>
        <v>108191046.417</v>
      </c>
      <c r="AO37" s="6">
        <f>+'[16]externa'!$U$242</f>
        <v>100597499.99999999</v>
      </c>
      <c r="AP37" s="27">
        <f>+'[16]externa'!$V$242+'[16]externa'!$W$242</f>
        <v>3239122.0979999998</v>
      </c>
      <c r="AQ37" s="28">
        <f t="shared" si="61"/>
        <v>103836622.09799999</v>
      </c>
      <c r="AR37" s="6">
        <f>+'[16]externa'!$U$255</f>
        <v>0</v>
      </c>
      <c r="AS37" s="27">
        <f>+'[16]externa'!$V$255+'[16]externa'!$W$255</f>
        <v>0</v>
      </c>
      <c r="AT37" s="28">
        <f t="shared" si="62"/>
        <v>0</v>
      </c>
      <c r="AU37" s="6">
        <f>+'[16]externa'!$U$268</f>
        <v>0</v>
      </c>
      <c r="AV37" s="27">
        <f>+'[16]externa'!$V$268+'[16]externa'!$W$268</f>
        <v>0</v>
      </c>
      <c r="AW37" s="28">
        <f t="shared" si="63"/>
        <v>0</v>
      </c>
      <c r="AX37" s="6">
        <f>+'[16]externa'!$U$281</f>
        <v>0</v>
      </c>
      <c r="AY37" s="27">
        <f>+'[16]externa'!$V$281+'[16]externa'!$W$281</f>
        <v>0</v>
      </c>
      <c r="AZ37" s="28">
        <f t="shared" si="64"/>
        <v>0</v>
      </c>
      <c r="BA37" s="6">
        <f>+'[16]externa'!$U$294</f>
        <v>0</v>
      </c>
      <c r="BB37" s="27">
        <f>+'[16]externa'!$V$294+'[16]externa'!$W$294</f>
        <v>0</v>
      </c>
      <c r="BC37" s="28">
        <f t="shared" si="65"/>
        <v>0</v>
      </c>
      <c r="BD37" s="6">
        <f>+'[16]externa'!$U$307</f>
        <v>0</v>
      </c>
      <c r="BE37" s="27">
        <f>+'[16]externa'!$V$307+'[16]externa'!$W$307</f>
        <v>0</v>
      </c>
      <c r="BF37" s="28">
        <f t="shared" si="66"/>
        <v>0</v>
      </c>
      <c r="BG37" s="6">
        <f>+'[16]externa'!$U$320</f>
        <v>0</v>
      </c>
      <c r="BH37" s="27">
        <f>+'[16]externa'!$V$320+'[16]externa'!$W$320</f>
        <v>0</v>
      </c>
      <c r="BI37" s="28">
        <f t="shared" si="67"/>
        <v>0</v>
      </c>
      <c r="BJ37" s="6">
        <f>+'[16]externa'!$U$333</f>
        <v>0</v>
      </c>
      <c r="BK37" s="27">
        <f>+'[16]externa'!$V$333+'[16]externa'!$W$333</f>
        <v>0</v>
      </c>
      <c r="BL37" s="28">
        <f t="shared" si="68"/>
        <v>0</v>
      </c>
      <c r="BM37" s="6">
        <f>+'[16]externa'!$U$346</f>
        <v>0</v>
      </c>
      <c r="BN37" s="27">
        <f>+'[16]externa'!$V$346+'[16]externa'!$W$346</f>
        <v>0</v>
      </c>
      <c r="BO37" s="28">
        <f t="shared" si="69"/>
        <v>0</v>
      </c>
      <c r="BP37" s="6">
        <f>+'[16]externa'!$U$359</f>
        <v>0</v>
      </c>
      <c r="BQ37" s="27">
        <f>+'[16]externa'!$V$359+'[16]externa'!$W$359</f>
        <v>0</v>
      </c>
      <c r="BR37" s="28">
        <f t="shared" si="70"/>
        <v>0</v>
      </c>
      <c r="BS37" s="6">
        <f>+'[16]externa'!$U$372</f>
        <v>0</v>
      </c>
      <c r="BT37" s="27">
        <f>+'[16]externa'!$V$372+'[16]externa'!$W$372</f>
        <v>0</v>
      </c>
      <c r="BU37" s="28">
        <f t="shared" si="71"/>
        <v>0</v>
      </c>
      <c r="BV37" s="6">
        <f>+'[16]externa'!$U$385</f>
        <v>0</v>
      </c>
      <c r="BW37" s="27">
        <f>+'[16]externa'!$V$385+'[16]externa'!$W$385</f>
        <v>0</v>
      </c>
      <c r="BX37" s="28">
        <f t="shared" si="72"/>
        <v>0</v>
      </c>
      <c r="BY37" s="6">
        <f>+'[16]externa'!$U$398</f>
        <v>0</v>
      </c>
      <c r="BZ37" s="27">
        <f>+'[16]externa'!$V$398+'[16]externa'!$W$398</f>
        <v>0</v>
      </c>
      <c r="CA37" s="28">
        <f t="shared" si="73"/>
        <v>0</v>
      </c>
      <c r="CB37" s="6">
        <f>+'[16]externa'!$U$411</f>
        <v>0</v>
      </c>
      <c r="CC37" s="27">
        <f>+'[16]externa'!$V$411+'[16]externa'!$W$411</f>
        <v>0</v>
      </c>
      <c r="CD37" s="28">
        <f t="shared" si="74"/>
        <v>0</v>
      </c>
      <c r="CE37" s="6">
        <f>+'[16]externa'!$U$424</f>
        <v>0</v>
      </c>
      <c r="CF37" s="27">
        <f>+'[16]externa'!$V$424+'[16]externa'!$W$424</f>
        <v>0</v>
      </c>
      <c r="CG37" s="28">
        <f t="shared" si="75"/>
        <v>0</v>
      </c>
      <c r="CH37" s="6">
        <f>+'[16]externa'!$U$437</f>
        <v>0</v>
      </c>
      <c r="CI37" s="27">
        <f>+'[16]externa'!$V$437+'[16]externa'!$W$437</f>
        <v>0</v>
      </c>
      <c r="CJ37" s="28">
        <f t="shared" si="76"/>
        <v>0</v>
      </c>
      <c r="CK37" s="28">
        <f t="shared" si="78"/>
        <v>1212557806.1345077</v>
      </c>
      <c r="CL37" s="28">
        <f t="shared" si="79"/>
        <v>436860725.87229997</v>
      </c>
      <c r="CM37" s="28">
        <f t="shared" si="77"/>
        <v>1649418532.0068076</v>
      </c>
      <c r="CN37" s="132" t="s">
        <v>68</v>
      </c>
      <c r="CO37" s="4"/>
      <c r="CP37" s="72"/>
    </row>
    <row r="38" spans="1:94" ht="15">
      <c r="A38" s="7" t="s">
        <v>288</v>
      </c>
      <c r="B38" s="6">
        <f>+'[16]externa'!$O$73</f>
        <v>16643043.969696235</v>
      </c>
      <c r="C38" s="27">
        <f>+'[16]externa'!$P$73+'[16]externa'!$Q$73</f>
        <v>15179915.869199999</v>
      </c>
      <c r="D38" s="28">
        <f t="shared" si="48"/>
        <v>31822959.838896234</v>
      </c>
      <c r="E38" s="6">
        <f>+'[16]externa'!$O$86</f>
        <v>25264303.667044997</v>
      </c>
      <c r="F38" s="27">
        <f>+'[16]externa'!$P$86+'[16]externa'!$Q$86</f>
        <v>11254838.65</v>
      </c>
      <c r="G38" s="28">
        <f t="shared" si="49"/>
        <v>36519142.317044996</v>
      </c>
      <c r="H38" s="6">
        <f>+'[16]externa'!$O$99</f>
        <v>32979477.4322832</v>
      </c>
      <c r="I38" s="27">
        <f>+'[16]externa'!$P$99+'[16]externa'!$Q$99</f>
        <v>7216382.628</v>
      </c>
      <c r="J38" s="28">
        <f t="shared" si="50"/>
        <v>40195860.0602832</v>
      </c>
      <c r="K38" s="6">
        <f>+'[16]externa'!$O$112</f>
        <v>40046318.403888</v>
      </c>
      <c r="L38" s="27">
        <f>+'[16]externa'!$P$112+'[16]externa'!$Q$112</f>
        <v>3124648.4159999997</v>
      </c>
      <c r="M38" s="28">
        <f t="shared" si="51"/>
        <v>43170966.819888</v>
      </c>
      <c r="N38" s="6">
        <f>+'[16]externa'!$O$125</f>
        <v>0</v>
      </c>
      <c r="O38" s="27">
        <f>+'[16]externa'!$P$125+'[16]externa'!$Q$125</f>
        <v>0</v>
      </c>
      <c r="P38" s="28">
        <f t="shared" si="52"/>
        <v>0</v>
      </c>
      <c r="Q38" s="6">
        <f>+'[16]externa'!$O$138</f>
        <v>0</v>
      </c>
      <c r="R38" s="27">
        <f>+'[16]externa'!$P$138+'[16]externa'!$Q$138</f>
        <v>0</v>
      </c>
      <c r="S38" s="28">
        <f t="shared" si="53"/>
        <v>0</v>
      </c>
      <c r="T38" s="6">
        <f>+'[16]externa'!$O$151</f>
        <v>0</v>
      </c>
      <c r="U38" s="27">
        <f>+'[16]externa'!$P$151+'[16]externa'!$Q$151</f>
        <v>0</v>
      </c>
      <c r="V38" s="28">
        <f t="shared" si="54"/>
        <v>0</v>
      </c>
      <c r="W38" s="6">
        <f>+'[16]externa'!$O$164</f>
        <v>0</v>
      </c>
      <c r="X38" s="27">
        <f>+'[16]externa'!$P$164+'[16]externa'!$Q$164</f>
        <v>0</v>
      </c>
      <c r="Y38" s="28">
        <f t="shared" si="55"/>
        <v>0</v>
      </c>
      <c r="Z38" s="6">
        <f>+'[16]externa'!$O$177</f>
        <v>0</v>
      </c>
      <c r="AA38" s="27">
        <f>+'[16]externa'!$P$177+'[16]externa'!$Q$177</f>
        <v>0</v>
      </c>
      <c r="AB38" s="28">
        <f t="shared" si="56"/>
        <v>0</v>
      </c>
      <c r="AC38" s="6">
        <f>+'[16]externa'!$O$190</f>
        <v>0</v>
      </c>
      <c r="AD38" s="27">
        <f>+'[16]externa'!$P$190+'[16]externa'!$Q$190</f>
        <v>0</v>
      </c>
      <c r="AE38" s="28">
        <f t="shared" si="57"/>
        <v>0</v>
      </c>
      <c r="AF38" s="6">
        <f>+'[16]externa'!$O$203</f>
        <v>0</v>
      </c>
      <c r="AG38" s="27">
        <f>+'[16]externa'!$P$203+'[16]externa'!$Q$203</f>
        <v>0</v>
      </c>
      <c r="AH38" s="28">
        <f t="shared" si="58"/>
        <v>0</v>
      </c>
      <c r="AI38" s="6">
        <f>+'[16]externa'!$O$216</f>
        <v>0</v>
      </c>
      <c r="AJ38" s="27">
        <f>+'[16]externa'!$P$216+'[16]externa'!$Q$216</f>
        <v>0</v>
      </c>
      <c r="AK38" s="28">
        <f t="shared" si="59"/>
        <v>0</v>
      </c>
      <c r="AL38" s="6">
        <f>+'[16]externa'!$O$229</f>
        <v>0</v>
      </c>
      <c r="AM38" s="27">
        <f>+'[16]externa'!$P$229+'[16]externa'!$Q$229</f>
        <v>0</v>
      </c>
      <c r="AN38" s="28">
        <f t="shared" si="60"/>
        <v>0</v>
      </c>
      <c r="AO38" s="6">
        <f>+'[16]externa'!$O$242</f>
        <v>0</v>
      </c>
      <c r="AP38" s="27">
        <f>+'[16]externa'!$P$242+'[16]externa'!$Q$242</f>
        <v>0</v>
      </c>
      <c r="AQ38" s="28">
        <f t="shared" si="61"/>
        <v>0</v>
      </c>
      <c r="AR38" s="6">
        <f>+'[16]externa'!$O$255</f>
        <v>0</v>
      </c>
      <c r="AS38" s="27">
        <f>+'[16]externa'!$P$255+'[16]externa'!$Q$255</f>
        <v>0</v>
      </c>
      <c r="AT38" s="28">
        <f t="shared" si="62"/>
        <v>0</v>
      </c>
      <c r="AU38" s="6">
        <f>+'[16]externa'!$O$268</f>
        <v>0</v>
      </c>
      <c r="AV38" s="27">
        <f>+'[16]externa'!$P$268+'[16]externa'!$Q$268</f>
        <v>0</v>
      </c>
      <c r="AW38" s="28">
        <f t="shared" si="63"/>
        <v>0</v>
      </c>
      <c r="AX38" s="6">
        <f>+'[16]externa'!$O$281</f>
        <v>0</v>
      </c>
      <c r="AY38" s="27">
        <f>+'[16]externa'!$P$281+'[16]externa'!$Q$281</f>
        <v>0</v>
      </c>
      <c r="AZ38" s="28">
        <f t="shared" si="64"/>
        <v>0</v>
      </c>
      <c r="BA38" s="6">
        <f>+'[16]externa'!$O$294</f>
        <v>0</v>
      </c>
      <c r="BB38" s="27">
        <f>+'[16]externa'!$P$294+'[16]externa'!$Q$294</f>
        <v>0</v>
      </c>
      <c r="BC38" s="28">
        <f t="shared" si="65"/>
        <v>0</v>
      </c>
      <c r="BD38" s="6">
        <f>+'[16]externa'!$O$307</f>
        <v>0</v>
      </c>
      <c r="BE38" s="27">
        <f>+'[16]externa'!$P$307+'[16]externa'!$Q$307</f>
        <v>0</v>
      </c>
      <c r="BF38" s="28">
        <f t="shared" si="66"/>
        <v>0</v>
      </c>
      <c r="BG38" s="6">
        <f>+'[16]externa'!$O$320</f>
        <v>0</v>
      </c>
      <c r="BH38" s="27">
        <f>+'[16]externa'!$P$320+'[16]externa'!$Q$320</f>
        <v>0</v>
      </c>
      <c r="BI38" s="28">
        <f t="shared" si="67"/>
        <v>0</v>
      </c>
      <c r="BJ38" s="6">
        <f>+'[16]externa'!$O$333</f>
        <v>0</v>
      </c>
      <c r="BK38" s="27">
        <f>+'[16]externa'!$P$333+'[16]externa'!$Q$333</f>
        <v>0</v>
      </c>
      <c r="BL38" s="28">
        <f t="shared" si="68"/>
        <v>0</v>
      </c>
      <c r="BM38" s="6">
        <f>+'[16]externa'!$O$346</f>
        <v>0</v>
      </c>
      <c r="BN38" s="27">
        <f>+'[16]externa'!$P$346+'[16]externa'!$Q$346</f>
        <v>0</v>
      </c>
      <c r="BO38" s="28">
        <f t="shared" si="69"/>
        <v>0</v>
      </c>
      <c r="BP38" s="6">
        <f>+'[16]externa'!$O$359</f>
        <v>0</v>
      </c>
      <c r="BQ38" s="27">
        <f>+'[16]externa'!$P$359+'[16]externa'!$Q$359</f>
        <v>0</v>
      </c>
      <c r="BR38" s="28">
        <f t="shared" si="70"/>
        <v>0</v>
      </c>
      <c r="BS38" s="6">
        <f>+'[16]externa'!$O$372</f>
        <v>0</v>
      </c>
      <c r="BT38" s="27">
        <f>+'[16]externa'!$P$372+'[16]externa'!$Q$372</f>
        <v>0</v>
      </c>
      <c r="BU38" s="28">
        <f t="shared" si="71"/>
        <v>0</v>
      </c>
      <c r="BV38" s="6">
        <f>+'[16]externa'!$O$385</f>
        <v>0</v>
      </c>
      <c r="BW38" s="27">
        <f>+'[16]externa'!$P$385+'[16]externa'!$Q$385</f>
        <v>0</v>
      </c>
      <c r="BX38" s="28">
        <f t="shared" si="72"/>
        <v>0</v>
      </c>
      <c r="BY38" s="6">
        <f>+'[16]externa'!$O$398</f>
        <v>0</v>
      </c>
      <c r="BZ38" s="27">
        <f>+'[16]externa'!$P$398+'[16]externa'!$Q$398</f>
        <v>0</v>
      </c>
      <c r="CA38" s="28">
        <f t="shared" si="73"/>
        <v>0</v>
      </c>
      <c r="CB38" s="6">
        <f>+'[16]externa'!$O$411</f>
        <v>0</v>
      </c>
      <c r="CC38" s="27">
        <f>+'[16]externa'!$P$411+'[16]externa'!$Q$411</f>
        <v>0</v>
      </c>
      <c r="CD38" s="28">
        <f t="shared" si="74"/>
        <v>0</v>
      </c>
      <c r="CE38" s="6">
        <f>+'[16]externa'!$O$424</f>
        <v>0</v>
      </c>
      <c r="CF38" s="27">
        <f>+'[16]externa'!$P$424+'[16]externa'!$Q$424</f>
        <v>0</v>
      </c>
      <c r="CG38" s="28">
        <f t="shared" si="75"/>
        <v>0</v>
      </c>
      <c r="CH38" s="6">
        <f>+'[16]externa'!$O$437</f>
        <v>0</v>
      </c>
      <c r="CI38" s="27">
        <f>+'[16]externa'!$P$437+'[16]externa'!$Q$437</f>
        <v>0</v>
      </c>
      <c r="CJ38" s="28">
        <f t="shared" si="76"/>
        <v>0</v>
      </c>
      <c r="CK38" s="28">
        <f t="shared" si="78"/>
        <v>114933143.47291245</v>
      </c>
      <c r="CL38" s="28">
        <f t="shared" si="79"/>
        <v>36775785.5632</v>
      </c>
      <c r="CM38" s="28">
        <f t="shared" si="77"/>
        <v>151708929.03611243</v>
      </c>
      <c r="CN38" s="132" t="s">
        <v>73</v>
      </c>
      <c r="CO38" s="4"/>
      <c r="CP38" s="72"/>
    </row>
    <row r="39" spans="1:94" ht="15">
      <c r="A39" s="7" t="s">
        <v>287</v>
      </c>
      <c r="B39" s="6">
        <f>+'[16]externa'!$F$73</f>
        <v>26650981.96229754</v>
      </c>
      <c r="C39" s="27">
        <f>+'[16]externa'!$G$73+'[16]externa'!$H$73</f>
        <v>25210272.413599998</v>
      </c>
      <c r="D39" s="28">
        <f t="shared" si="48"/>
        <v>51861254.37589754</v>
      </c>
      <c r="E39" s="6">
        <f>+'[16]externa'!$F$86</f>
        <v>40740459.21153</v>
      </c>
      <c r="F39" s="27">
        <f>+'[16]externa'!$G$86+'[16]externa'!$H$86</f>
        <v>18694146.75</v>
      </c>
      <c r="G39" s="28">
        <f t="shared" si="49"/>
        <v>59434605.96153</v>
      </c>
      <c r="H39" s="6">
        <f>+'[16]externa'!$F$99</f>
        <v>53328298.42529279</v>
      </c>
      <c r="I39" s="27">
        <f>+'[16]externa'!$G$99+'[16]externa'!$H$99</f>
        <v>11989738.303199999</v>
      </c>
      <c r="J39" s="28">
        <f t="shared" si="50"/>
        <v>65318036.72849279</v>
      </c>
      <c r="K39" s="6">
        <f>+'[16]externa'!$F$112</f>
        <v>64829969.213379</v>
      </c>
      <c r="L39" s="27">
        <f>+'[16]externa'!$G$112+'[16]externa'!$H$112</f>
        <v>5196916.881</v>
      </c>
      <c r="M39" s="28">
        <f t="shared" si="51"/>
        <v>70026886.09437901</v>
      </c>
      <c r="N39" s="6">
        <f>+'[16]externa'!$F$125</f>
        <v>0</v>
      </c>
      <c r="O39" s="27">
        <f>+'[16]externa'!$G$125+'[16]externa'!$H$125</f>
        <v>0</v>
      </c>
      <c r="P39" s="28">
        <f t="shared" si="52"/>
        <v>0</v>
      </c>
      <c r="Q39" s="6">
        <f>+'[16]externa'!$F$138</f>
        <v>0</v>
      </c>
      <c r="R39" s="27">
        <f>+'[16]externa'!$G$138+'[16]externa'!$H$138</f>
        <v>0</v>
      </c>
      <c r="S39" s="28">
        <f t="shared" si="53"/>
        <v>0</v>
      </c>
      <c r="T39" s="6">
        <f>+'[16]externa'!$F$151</f>
        <v>0</v>
      </c>
      <c r="U39" s="27">
        <f>+'[16]externa'!$G$151+'[16]externa'!$H$151</f>
        <v>0</v>
      </c>
      <c r="V39" s="28">
        <f t="shared" si="54"/>
        <v>0</v>
      </c>
      <c r="W39" s="6">
        <f>+'[16]externa'!$F$164</f>
        <v>0</v>
      </c>
      <c r="X39" s="27">
        <f>+'[16]externa'!$G$164+'[16]externa'!$H$164</f>
        <v>0</v>
      </c>
      <c r="Y39" s="28">
        <f t="shared" si="55"/>
        <v>0</v>
      </c>
      <c r="Z39" s="6">
        <f>+'[16]externa'!$F$177</f>
        <v>0</v>
      </c>
      <c r="AA39" s="27">
        <f>+'[16]externa'!$G$177+'[16]externa'!$H$177</f>
        <v>0</v>
      </c>
      <c r="AB39" s="28">
        <f t="shared" si="56"/>
        <v>0</v>
      </c>
      <c r="AC39" s="6">
        <f>+'[16]externa'!$F$190</f>
        <v>0</v>
      </c>
      <c r="AD39" s="27">
        <f>+'[16]externa'!$G$190+'[16]externa'!$H$190</f>
        <v>0</v>
      </c>
      <c r="AE39" s="28">
        <f t="shared" si="57"/>
        <v>0</v>
      </c>
      <c r="AF39" s="6">
        <f>+'[16]externa'!$F$203</f>
        <v>0</v>
      </c>
      <c r="AG39" s="27">
        <f>+'[16]externa'!$G$203+'[16]externa'!$H$203</f>
        <v>0</v>
      </c>
      <c r="AH39" s="28">
        <f t="shared" si="58"/>
        <v>0</v>
      </c>
      <c r="AI39" s="6">
        <f>+'[16]externa'!$F$216</f>
        <v>0</v>
      </c>
      <c r="AJ39" s="27">
        <f>+'[16]externa'!$G$216+'[16]externa'!$H$216</f>
        <v>0</v>
      </c>
      <c r="AK39" s="28">
        <f t="shared" si="59"/>
        <v>0</v>
      </c>
      <c r="AL39" s="6">
        <f>+'[16]externa'!$F$229</f>
        <v>0</v>
      </c>
      <c r="AM39" s="27">
        <f>+'[16]externa'!$G$229+'[16]externa'!$H$229</f>
        <v>0</v>
      </c>
      <c r="AN39" s="28">
        <f t="shared" si="60"/>
        <v>0</v>
      </c>
      <c r="AO39" s="6">
        <f>+'[16]externa'!$F$242</f>
        <v>0</v>
      </c>
      <c r="AP39" s="27">
        <f>+'[16]externa'!$G$242+'[16]externa'!$H$242</f>
        <v>0</v>
      </c>
      <c r="AQ39" s="28">
        <f t="shared" si="61"/>
        <v>0</v>
      </c>
      <c r="AR39" s="6">
        <f>+'[16]externa'!$F$255</f>
        <v>0</v>
      </c>
      <c r="AS39" s="27">
        <f>+'[16]externa'!$G$255+'[16]externa'!$H$255</f>
        <v>0</v>
      </c>
      <c r="AT39" s="28">
        <f t="shared" si="62"/>
        <v>0</v>
      </c>
      <c r="AU39" s="6">
        <f>+'[16]externa'!$F$268</f>
        <v>0</v>
      </c>
      <c r="AV39" s="27">
        <f>+'[16]externa'!$G$268+'[16]externa'!$H$268</f>
        <v>0</v>
      </c>
      <c r="AW39" s="28">
        <f t="shared" si="63"/>
        <v>0</v>
      </c>
      <c r="AX39" s="6">
        <f>+'[16]externa'!$F$281</f>
        <v>0</v>
      </c>
      <c r="AY39" s="27">
        <f>+'[16]externa'!$G$281+'[16]externa'!$H$281</f>
        <v>0</v>
      </c>
      <c r="AZ39" s="28">
        <f t="shared" si="64"/>
        <v>0</v>
      </c>
      <c r="BA39" s="6">
        <f>+'[16]externa'!$F$294</f>
        <v>0</v>
      </c>
      <c r="BB39" s="27">
        <f>+'[16]externa'!$G$294+'[16]externa'!$H$294</f>
        <v>0</v>
      </c>
      <c r="BC39" s="28">
        <f t="shared" si="65"/>
        <v>0</v>
      </c>
      <c r="BD39" s="6">
        <f>+'[16]externa'!$F$307</f>
        <v>0</v>
      </c>
      <c r="BE39" s="27">
        <f>+'[16]externa'!$G$307+'[16]externa'!$H$307</f>
        <v>0</v>
      </c>
      <c r="BF39" s="28">
        <f t="shared" si="66"/>
        <v>0</v>
      </c>
      <c r="BG39" s="6">
        <f>+'[16]externa'!$F$320</f>
        <v>0</v>
      </c>
      <c r="BH39" s="27">
        <f>+'[16]externa'!$G$320+'[16]externa'!$H$320</f>
        <v>0</v>
      </c>
      <c r="BI39" s="28">
        <f t="shared" si="67"/>
        <v>0</v>
      </c>
      <c r="BJ39" s="6">
        <f>+'[16]externa'!$F$333</f>
        <v>0</v>
      </c>
      <c r="BK39" s="27">
        <f>+'[16]externa'!$G$333+'[16]externa'!$H$333</f>
        <v>0</v>
      </c>
      <c r="BL39" s="28">
        <f t="shared" si="68"/>
        <v>0</v>
      </c>
      <c r="BM39" s="6">
        <f>+'[16]externa'!$F$346</f>
        <v>0</v>
      </c>
      <c r="BN39" s="27">
        <f>+'[16]externa'!$G$346+'[16]externa'!$H$346</f>
        <v>0</v>
      </c>
      <c r="BO39" s="28">
        <f t="shared" si="69"/>
        <v>0</v>
      </c>
      <c r="BP39" s="6">
        <f>+'[16]externa'!$F$359</f>
        <v>0</v>
      </c>
      <c r="BQ39" s="27">
        <f>+'[16]externa'!$G$359+'[16]externa'!$H$359</f>
        <v>0</v>
      </c>
      <c r="BR39" s="28">
        <f t="shared" si="70"/>
        <v>0</v>
      </c>
      <c r="BS39" s="6">
        <f>+'[16]externa'!$F$372</f>
        <v>0</v>
      </c>
      <c r="BT39" s="27">
        <f>+'[16]externa'!$G$372+'[16]externa'!$H$372</f>
        <v>0</v>
      </c>
      <c r="BU39" s="28">
        <f t="shared" si="71"/>
        <v>0</v>
      </c>
      <c r="BV39" s="6">
        <f>+'[16]externa'!$F$385</f>
        <v>0</v>
      </c>
      <c r="BW39" s="27">
        <f>+'[16]externa'!$G$385+'[16]externa'!$H$385</f>
        <v>0</v>
      </c>
      <c r="BX39" s="28">
        <f t="shared" si="72"/>
        <v>0</v>
      </c>
      <c r="BY39" s="6">
        <f>+'[16]externa'!$F$398</f>
        <v>0</v>
      </c>
      <c r="BZ39" s="27">
        <f>+'[16]externa'!$G$398+'[16]externa'!$H$398</f>
        <v>0</v>
      </c>
      <c r="CA39" s="28">
        <f t="shared" si="73"/>
        <v>0</v>
      </c>
      <c r="CB39" s="6">
        <f>+'[16]externa'!$F$411</f>
        <v>0</v>
      </c>
      <c r="CC39" s="27">
        <f>+'[16]externa'!$G$411+'[16]externa'!$H$411</f>
        <v>0</v>
      </c>
      <c r="CD39" s="28">
        <f t="shared" si="74"/>
        <v>0</v>
      </c>
      <c r="CE39" s="6">
        <f>+'[16]externa'!$F$424</f>
        <v>0</v>
      </c>
      <c r="CF39" s="27">
        <f>+'[16]externa'!$G$424+'[16]externa'!$H$424</f>
        <v>0</v>
      </c>
      <c r="CG39" s="28">
        <f t="shared" si="75"/>
        <v>0</v>
      </c>
      <c r="CH39" s="6">
        <f>+'[16]externa'!$F$437</f>
        <v>0</v>
      </c>
      <c r="CI39" s="27">
        <f>+'[16]externa'!$G$437+'[16]externa'!$H$437</f>
        <v>0</v>
      </c>
      <c r="CJ39" s="28">
        <f t="shared" si="76"/>
        <v>0</v>
      </c>
      <c r="CK39" s="28">
        <f t="shared" si="78"/>
        <v>185549708.81249934</v>
      </c>
      <c r="CL39" s="28">
        <f t="shared" si="79"/>
        <v>61091074.347799994</v>
      </c>
      <c r="CM39" s="28">
        <f t="shared" si="77"/>
        <v>246640783.16029933</v>
      </c>
      <c r="CN39" s="132" t="s">
        <v>74</v>
      </c>
      <c r="CO39" s="4"/>
      <c r="CP39" s="72"/>
    </row>
    <row r="40" spans="1:94" ht="15">
      <c r="A40" s="7" t="s">
        <v>234</v>
      </c>
      <c r="B40" s="6">
        <f>+'[16]externa'!$C$73</f>
        <v>0</v>
      </c>
      <c r="C40" s="27">
        <f>+'[16]externa'!$D$73+'[16]externa'!$E$73</f>
        <v>0</v>
      </c>
      <c r="D40" s="28">
        <f t="shared" si="48"/>
        <v>0</v>
      </c>
      <c r="E40" s="6">
        <f>+'[16]externa'!$C$86</f>
        <v>0</v>
      </c>
      <c r="F40" s="27">
        <f>+'[16]externa'!$D$86+'[16]externa'!$E$86</f>
        <v>0</v>
      </c>
      <c r="G40" s="28">
        <f t="shared" si="49"/>
        <v>0</v>
      </c>
      <c r="H40" s="6">
        <f>+'[16]externa'!$C$99</f>
        <v>0</v>
      </c>
      <c r="I40" s="27">
        <f>+'[16]externa'!$D$99+'[16]externa'!$E$99</f>
        <v>0</v>
      </c>
      <c r="J40" s="28">
        <f t="shared" si="50"/>
        <v>0</v>
      </c>
      <c r="K40" s="6">
        <f>+'[16]externa'!$C$112</f>
        <v>0</v>
      </c>
      <c r="L40" s="27">
        <f>+'[16]externa'!$D$112+'[16]externa'!$E$112</f>
        <v>0</v>
      </c>
      <c r="M40" s="28">
        <f t="shared" si="51"/>
        <v>0</v>
      </c>
      <c r="N40" s="6">
        <f>+'[16]externa'!$C$125</f>
        <v>0</v>
      </c>
      <c r="O40" s="27">
        <f>+'[16]externa'!$D$125+'[16]externa'!$E$125</f>
        <v>0</v>
      </c>
      <c r="P40" s="28">
        <f t="shared" si="52"/>
        <v>0</v>
      </c>
      <c r="Q40" s="6">
        <f>+'[16]externa'!$C$138</f>
        <v>8502012.55</v>
      </c>
      <c r="R40" s="27">
        <f>+'[16]externa'!$D$138+'[16]externa'!$E$138</f>
        <v>0</v>
      </c>
      <c r="S40" s="28">
        <f t="shared" si="53"/>
        <v>8502012.55</v>
      </c>
      <c r="T40" s="6">
        <f>+'[16]externa'!$C$151</f>
        <v>0</v>
      </c>
      <c r="U40" s="27">
        <f>+'[16]externa'!$D$151+'[16]externa'!$E$151</f>
        <v>0</v>
      </c>
      <c r="V40" s="28">
        <f t="shared" si="54"/>
        <v>0</v>
      </c>
      <c r="W40" s="6">
        <f>+'[16]externa'!$C$164</f>
        <v>0</v>
      </c>
      <c r="X40" s="27">
        <f>+'[16]externa'!$D$164+'[16]externa'!$E$164</f>
        <v>0</v>
      </c>
      <c r="Y40" s="28">
        <f t="shared" si="55"/>
        <v>0</v>
      </c>
      <c r="Z40" s="6">
        <f>+'[16]externa'!$C$177</f>
        <v>0</v>
      </c>
      <c r="AA40" s="27">
        <f>+'[16]externa'!$D$177+'[16]externa'!$E$177</f>
        <v>0</v>
      </c>
      <c r="AB40" s="28">
        <f t="shared" si="56"/>
        <v>0</v>
      </c>
      <c r="AC40" s="6">
        <f>+'[16]externa'!$C$190</f>
        <v>0</v>
      </c>
      <c r="AD40" s="27">
        <f>+'[16]externa'!$D$190+'[16]externa'!$E$190</f>
        <v>0</v>
      </c>
      <c r="AE40" s="28">
        <f t="shared" si="57"/>
        <v>0</v>
      </c>
      <c r="AF40" s="6">
        <f>+'[16]externa'!$C$203</f>
        <v>0</v>
      </c>
      <c r="AG40" s="27">
        <f>+'[16]externa'!$D$203+'[16]externa'!$E$203</f>
        <v>0</v>
      </c>
      <c r="AH40" s="28">
        <f t="shared" si="58"/>
        <v>0</v>
      </c>
      <c r="AI40" s="6">
        <f>+'[16]externa'!$C$216</f>
        <v>0</v>
      </c>
      <c r="AJ40" s="27">
        <f>+'[16]externa'!$D$216+'[16]externa'!$E$216</f>
        <v>0</v>
      </c>
      <c r="AK40" s="28">
        <f t="shared" si="59"/>
        <v>0</v>
      </c>
      <c r="AL40" s="6">
        <f>+'[16]externa'!$C$229</f>
        <v>0</v>
      </c>
      <c r="AM40" s="27">
        <f>+'[16]externa'!$D$229+'[16]externa'!$E$229</f>
        <v>0</v>
      </c>
      <c r="AN40" s="28">
        <f t="shared" si="60"/>
        <v>0</v>
      </c>
      <c r="AO40" s="6">
        <f>+'[16]externa'!$C$242</f>
        <v>0</v>
      </c>
      <c r="AP40" s="27">
        <f>+'[16]externa'!$D$242+'[16]externa'!$E$242</f>
        <v>0</v>
      </c>
      <c r="AQ40" s="28">
        <f t="shared" si="61"/>
        <v>0</v>
      </c>
      <c r="AR40" s="6">
        <f>+'[16]externa'!$C$255</f>
        <v>0</v>
      </c>
      <c r="AS40" s="27">
        <f>+'[16]externa'!$D$255+'[16]externa'!$E$255</f>
        <v>0</v>
      </c>
      <c r="AT40" s="28">
        <f t="shared" si="62"/>
        <v>0</v>
      </c>
      <c r="AU40" s="6">
        <f>+'[16]externa'!$C$268</f>
        <v>0</v>
      </c>
      <c r="AV40" s="27">
        <f>+'[16]externa'!$D$268+'[16]externa'!$E$268</f>
        <v>0</v>
      </c>
      <c r="AW40" s="28">
        <f t="shared" si="63"/>
        <v>0</v>
      </c>
      <c r="AX40" s="6">
        <f>+'[16]externa'!$C$281</f>
        <v>0</v>
      </c>
      <c r="AY40" s="27">
        <f>+'[16]externa'!$D$281+'[16]externa'!$E$281</f>
        <v>0</v>
      </c>
      <c r="AZ40" s="28">
        <f t="shared" si="64"/>
        <v>0</v>
      </c>
      <c r="BA40" s="6">
        <f>+'[16]externa'!$C$294</f>
        <v>0</v>
      </c>
      <c r="BB40" s="27">
        <f>+'[16]externa'!$D$294+'[16]externa'!$E$294</f>
        <v>0</v>
      </c>
      <c r="BC40" s="28">
        <f t="shared" si="65"/>
        <v>0</v>
      </c>
      <c r="BD40" s="6">
        <f>+'[16]externa'!$C$307</f>
        <v>0</v>
      </c>
      <c r="BE40" s="27">
        <f>+'[16]externa'!$D$307+'[16]externa'!$E$307</f>
        <v>0</v>
      </c>
      <c r="BF40" s="28">
        <f t="shared" si="66"/>
        <v>0</v>
      </c>
      <c r="BG40" s="6">
        <f>+'[16]externa'!$C$320</f>
        <v>0</v>
      </c>
      <c r="BH40" s="27">
        <f>+'[16]externa'!$D$320+'[16]externa'!$E$320</f>
        <v>0</v>
      </c>
      <c r="BI40" s="28">
        <f t="shared" si="67"/>
        <v>0</v>
      </c>
      <c r="BJ40" s="6">
        <f>+'[16]externa'!$C$333</f>
        <v>0</v>
      </c>
      <c r="BK40" s="27">
        <f>+'[16]externa'!$D$333+'[16]externa'!$E$333</f>
        <v>0</v>
      </c>
      <c r="BL40" s="28">
        <f t="shared" si="68"/>
        <v>0</v>
      </c>
      <c r="BM40" s="6">
        <f>+'[16]externa'!$C$346</f>
        <v>0</v>
      </c>
      <c r="BN40" s="27">
        <f>+'[16]externa'!$D$346+'[16]externa'!$E$346</f>
        <v>0</v>
      </c>
      <c r="BO40" s="28">
        <f t="shared" si="69"/>
        <v>0</v>
      </c>
      <c r="BP40" s="6">
        <f>+'[16]externa'!$C$359</f>
        <v>0</v>
      </c>
      <c r="BQ40" s="27">
        <f>+'[16]externa'!$D$359+'[16]externa'!$E$359</f>
        <v>0</v>
      </c>
      <c r="BR40" s="28">
        <f t="shared" si="70"/>
        <v>0</v>
      </c>
      <c r="BS40" s="6">
        <f>+'[16]externa'!$C$372</f>
        <v>0</v>
      </c>
      <c r="BT40" s="27">
        <f>+'[16]externa'!$D$372+'[16]externa'!$E$372</f>
        <v>0</v>
      </c>
      <c r="BU40" s="28">
        <f t="shared" si="71"/>
        <v>0</v>
      </c>
      <c r="BV40" s="6">
        <f>+'[16]externa'!$C$385</f>
        <v>0</v>
      </c>
      <c r="BW40" s="27">
        <f>+'[16]externa'!$D$385+'[16]externa'!$E$385</f>
        <v>0</v>
      </c>
      <c r="BX40" s="28">
        <f t="shared" si="72"/>
        <v>0</v>
      </c>
      <c r="BY40" s="6">
        <f>+'[16]externa'!$C$398</f>
        <v>0</v>
      </c>
      <c r="BZ40" s="27">
        <f>+'[16]externa'!$D$398+'[16]externa'!$E$398</f>
        <v>0</v>
      </c>
      <c r="CA40" s="28">
        <f t="shared" si="73"/>
        <v>0</v>
      </c>
      <c r="CB40" s="6">
        <f>+'[16]externa'!$C$411</f>
        <v>0</v>
      </c>
      <c r="CC40" s="27">
        <f>+'[16]externa'!$D$411+'[16]externa'!$E$411</f>
        <v>0</v>
      </c>
      <c r="CD40" s="28">
        <f t="shared" si="74"/>
        <v>0</v>
      </c>
      <c r="CE40" s="6">
        <f>+'[16]externa'!$C$424</f>
        <v>0</v>
      </c>
      <c r="CF40" s="27">
        <f>+'[16]externa'!$D$424+'[16]externa'!$E$424</f>
        <v>0</v>
      </c>
      <c r="CG40" s="28">
        <f t="shared" si="75"/>
        <v>0</v>
      </c>
      <c r="CH40" s="6">
        <f>+'[16]externa'!$C$437</f>
        <v>0</v>
      </c>
      <c r="CI40" s="27">
        <f>+'[16]externa'!$D$437+'[16]externa'!$E$437</f>
        <v>0</v>
      </c>
      <c r="CJ40" s="28">
        <f t="shared" si="76"/>
        <v>0</v>
      </c>
      <c r="CK40" s="28">
        <f t="shared" si="78"/>
        <v>8502012.55</v>
      </c>
      <c r="CL40" s="28">
        <f t="shared" si="79"/>
        <v>0</v>
      </c>
      <c r="CM40" s="28">
        <f t="shared" si="77"/>
        <v>8502012.55</v>
      </c>
      <c r="CN40" s="133"/>
      <c r="CO40" s="4"/>
      <c r="CP40" s="72"/>
    </row>
    <row r="41" spans="1:95" ht="15">
      <c r="A41" s="15" t="s">
        <v>7</v>
      </c>
      <c r="B41" s="19">
        <f>+'[12]RELATÓRIO AMT '!$DD$11</f>
        <v>25153702.112499997</v>
      </c>
      <c r="C41" s="19">
        <f>+D41-B41</f>
        <v>3043705.3900000006</v>
      </c>
      <c r="D41" s="19">
        <f>+'[12]RELATÓRIO PRT'!$DD$11</f>
        <v>28197407.502499998</v>
      </c>
      <c r="E41" s="19">
        <f>+'[12]RELATÓRIO AMT '!$DD$11</f>
        <v>25153702.112499997</v>
      </c>
      <c r="F41" s="19">
        <f>+G41-E41</f>
        <v>3043705.3900000006</v>
      </c>
      <c r="G41" s="19">
        <f>+'[12]RELATÓRIO PRT'!$DD$11</f>
        <v>28197407.502499998</v>
      </c>
      <c r="H41" s="19">
        <f>+'[12]RELATÓRIO AMT '!$DD$11</f>
        <v>25153702.112499997</v>
      </c>
      <c r="I41" s="19">
        <f>+J41-H41</f>
        <v>3043705.3900000006</v>
      </c>
      <c r="J41" s="19">
        <f>+'[12]RELATÓRIO PRT'!$DD$11</f>
        <v>28197407.502499998</v>
      </c>
      <c r="K41" s="19">
        <f>+'[12]RELATÓRIO AMT '!$DD$11</f>
        <v>25153702.112499997</v>
      </c>
      <c r="L41" s="19">
        <f>+M41-K41</f>
        <v>3043705.3900000006</v>
      </c>
      <c r="M41" s="19">
        <f>+'[12]RELATÓRIO PRT'!$DD$11</f>
        <v>28197407.502499998</v>
      </c>
      <c r="N41" s="19">
        <f>+'[12]RELATÓRIO AMT '!$DD$11</f>
        <v>25153702.112499997</v>
      </c>
      <c r="O41" s="19">
        <f>+P41-N41</f>
        <v>3043705.3900000006</v>
      </c>
      <c r="P41" s="19">
        <f>+'[12]RELATÓRIO PRT'!$DD$11</f>
        <v>28197407.502499998</v>
      </c>
      <c r="Q41" s="19">
        <f>+'[12]RELATÓRIO AMT '!$DD$11</f>
        <v>25153702.112499997</v>
      </c>
      <c r="R41" s="19">
        <f>+S41-Q41</f>
        <v>3043705.3900000006</v>
      </c>
      <c r="S41" s="19">
        <f>+'[12]RELATÓRIO PRT'!$DD$11</f>
        <v>28197407.502499998</v>
      </c>
      <c r="T41" s="19">
        <f>+'[12]RELATÓRIO AMT '!$DD$11</f>
        <v>25153702.112499997</v>
      </c>
      <c r="U41" s="19">
        <f>+V41-T41</f>
        <v>3043705.3900000006</v>
      </c>
      <c r="V41" s="19">
        <f>+'[12]RELATÓRIO PRT'!$DD$11</f>
        <v>28197407.502499998</v>
      </c>
      <c r="W41" s="19">
        <f>+'[12]RELATÓRIO AMT '!$DD$11</f>
        <v>25153702.112499997</v>
      </c>
      <c r="X41" s="19">
        <f>+Y41-W41</f>
        <v>3043705.3900000006</v>
      </c>
      <c r="Y41" s="19">
        <f>+'[12]RELATÓRIO PRT'!$DD$11</f>
        <v>28197407.502499998</v>
      </c>
      <c r="Z41" s="19">
        <f>+'[12]RELATÓRIO AMT '!$DD$11</f>
        <v>25153702.112499997</v>
      </c>
      <c r="AA41" s="19">
        <f>+AB41-Z41</f>
        <v>3043705.3900000006</v>
      </c>
      <c r="AB41" s="19">
        <f>+'[12]RELATÓRIO PRT'!$DD$11</f>
        <v>28197407.502499998</v>
      </c>
      <c r="AC41" s="19">
        <f>+'[12]RELATÓRIO AMT '!$DD$11</f>
        <v>25153702.112499997</v>
      </c>
      <c r="AD41" s="19">
        <f>+AE41-AC41</f>
        <v>3043705.3900000006</v>
      </c>
      <c r="AE41" s="19">
        <f>+'[12]RELATÓRIO PRT'!$DD$11</f>
        <v>28197407.502499998</v>
      </c>
      <c r="AF41" s="19">
        <f>+'[12]RELATÓRIO AMT '!$DD$11</f>
        <v>25153702.112499997</v>
      </c>
      <c r="AG41" s="19">
        <f>+AH41-AF41</f>
        <v>3043705.3900000006</v>
      </c>
      <c r="AH41" s="19">
        <f>+'[12]RELATÓRIO PRT'!$DD$11</f>
        <v>28197407.502499998</v>
      </c>
      <c r="AI41" s="19">
        <f>+'[12]RELATÓRIO AMT '!$DD$11</f>
        <v>25153702.112499997</v>
      </c>
      <c r="AJ41" s="19">
        <f>+AK41-AI41</f>
        <v>3043705.3900000006</v>
      </c>
      <c r="AK41" s="19">
        <f>+'[12]RELATÓRIO PRT'!$DD$11</f>
        <v>28197407.502499998</v>
      </c>
      <c r="AL41" s="19">
        <f>+'[12]RELATÓRIO AMT '!$DD$11</f>
        <v>25153702.112499997</v>
      </c>
      <c r="AM41" s="19">
        <f>+AN41-AL41</f>
        <v>3043705.3900000006</v>
      </c>
      <c r="AN41" s="19">
        <f>+'[12]RELATÓRIO PRT'!$DD$11</f>
        <v>28197407.502499998</v>
      </c>
      <c r="AO41" s="19">
        <f>+'[12]RELATÓRIO AMT '!$DD$11</f>
        <v>25153702.112499997</v>
      </c>
      <c r="AP41" s="19">
        <f>+AQ41-AO41</f>
        <v>3043705.3900000006</v>
      </c>
      <c r="AQ41" s="19">
        <f>+'[12]RELATÓRIO PRT'!$DD$11</f>
        <v>28197407.502499998</v>
      </c>
      <c r="AR41" s="19">
        <f>+'[12]RELATÓRIO AMT '!$DD$11</f>
        <v>25153702.112499997</v>
      </c>
      <c r="AS41" s="19">
        <f>+AT41-AR41</f>
        <v>3043705.3900000006</v>
      </c>
      <c r="AT41" s="19">
        <f>+'[12]RELATÓRIO PRT'!$DD$11</f>
        <v>28197407.502499998</v>
      </c>
      <c r="AU41" s="19">
        <f>+'[12]RELATÓRIO AMT '!$DD$11</f>
        <v>25153702.112499997</v>
      </c>
      <c r="AV41" s="19">
        <f>+AW41-AU41</f>
        <v>3043705.3900000006</v>
      </c>
      <c r="AW41" s="19">
        <f>+'[12]RELATÓRIO PRT'!$DD$11</f>
        <v>28197407.502499998</v>
      </c>
      <c r="AX41" s="19">
        <f>+'[12]RELATÓRIO AMT '!$DD$11</f>
        <v>25153702.112499997</v>
      </c>
      <c r="AY41" s="19">
        <f>+AZ41-AX41</f>
        <v>3043705.3900000006</v>
      </c>
      <c r="AZ41" s="19">
        <f>+'[12]RELATÓRIO PRT'!$DD$11</f>
        <v>28197407.502499998</v>
      </c>
      <c r="BA41" s="19">
        <f>+'[12]RELATÓRIO AMT '!$DD$11</f>
        <v>25153702.112499997</v>
      </c>
      <c r="BB41" s="19">
        <f>+BC41-BA41</f>
        <v>3043705.3900000006</v>
      </c>
      <c r="BC41" s="19">
        <f>+'[12]RELATÓRIO PRT'!$DD$11</f>
        <v>28197407.502499998</v>
      </c>
      <c r="BD41" s="19">
        <f>+'[12]RELATÓRIO AMT '!$DD$11</f>
        <v>25153702.112499997</v>
      </c>
      <c r="BE41" s="19">
        <f>+BF41-BD41</f>
        <v>3043705.3900000006</v>
      </c>
      <c r="BF41" s="19">
        <f>+'[12]RELATÓRIO PRT'!$DD$11</f>
        <v>28197407.502499998</v>
      </c>
      <c r="BG41" s="19">
        <f>+'[12]RELATÓRIO AMT '!$DD$11</f>
        <v>25153702.112499997</v>
      </c>
      <c r="BH41" s="19">
        <f>+BI41-BG41</f>
        <v>3043705.3900000006</v>
      </c>
      <c r="BI41" s="19">
        <f>+'[12]RELATÓRIO PRT'!$DD$11</f>
        <v>28197407.502499998</v>
      </c>
      <c r="BJ41" s="19">
        <f>+'[12]RELATÓRIO AMT '!$DD$11</f>
        <v>25153702.112499997</v>
      </c>
      <c r="BK41" s="19">
        <f>+BL41-BJ41</f>
        <v>3043705.3900000006</v>
      </c>
      <c r="BL41" s="19">
        <f>+'[12]RELATÓRIO PRT'!$DD$11</f>
        <v>28197407.502499998</v>
      </c>
      <c r="BM41" s="19">
        <f>+'[12]RELATÓRIO AMT '!$DD$11</f>
        <v>25153702.112499997</v>
      </c>
      <c r="BN41" s="19">
        <f>+BO41-BM41</f>
        <v>3043705.3900000006</v>
      </c>
      <c r="BO41" s="19">
        <f>+'[12]RELATÓRIO PRT'!$DD$11</f>
        <v>28197407.502499998</v>
      </c>
      <c r="BP41" s="19">
        <f>+'[12]RELATÓRIO AMT '!$DD$11</f>
        <v>25153702.112499997</v>
      </c>
      <c r="BQ41" s="19">
        <f>+BR41-BP41</f>
        <v>3043705.3900000006</v>
      </c>
      <c r="BR41" s="19">
        <f>+'[12]RELATÓRIO PRT'!$DD$11</f>
        <v>28197407.502499998</v>
      </c>
      <c r="BS41" s="19">
        <f>+'[12]RELATÓRIO AMT '!$DD$11</f>
        <v>25153702.112499997</v>
      </c>
      <c r="BT41" s="19">
        <f>+BU41-BS41</f>
        <v>3043705.3900000006</v>
      </c>
      <c r="BU41" s="19">
        <f>+'[12]RELATÓRIO PRT'!$DD$11</f>
        <v>28197407.502499998</v>
      </c>
      <c r="BV41" s="19">
        <f>+'[12]RELATÓRIO AMT '!$DD$11</f>
        <v>25153702.112499997</v>
      </c>
      <c r="BW41" s="19">
        <f>+BX41-BV41</f>
        <v>3043705.3900000006</v>
      </c>
      <c r="BX41" s="19">
        <f>+'[12]RELATÓRIO PRT'!$DD$11</f>
        <v>28197407.502499998</v>
      </c>
      <c r="BY41" s="19">
        <f>+'[12]RELATÓRIO AMT '!$DD$11</f>
        <v>25153702.112499997</v>
      </c>
      <c r="BZ41" s="19">
        <f>+CA41-BY41</f>
        <v>3043705.3900000006</v>
      </c>
      <c r="CA41" s="19">
        <f>+'[12]RELATÓRIO PRT'!$DD$11</f>
        <v>28197407.502499998</v>
      </c>
      <c r="CB41" s="19">
        <f>+'[12]RELATÓRIO AMT '!$DD$11</f>
        <v>25153702.112499997</v>
      </c>
      <c r="CC41" s="19">
        <f>+CD41-CB41</f>
        <v>3043705.3900000006</v>
      </c>
      <c r="CD41" s="19">
        <f>+'[12]RELATÓRIO PRT'!$DD$11</f>
        <v>28197407.502499998</v>
      </c>
      <c r="CE41" s="19">
        <f>+'[12]RELATÓRIO AMT '!$DD$11</f>
        <v>25153702.112499997</v>
      </c>
      <c r="CF41" s="19">
        <f>+CG41-CE41</f>
        <v>3043705.3900000006</v>
      </c>
      <c r="CG41" s="19">
        <f>+'[12]RELATÓRIO PRT'!$DD$11</f>
        <v>28197407.502499998</v>
      </c>
      <c r="CH41" s="19">
        <f>+'[12]RELATÓRIO AMT '!$DD$11</f>
        <v>25153702.112499997</v>
      </c>
      <c r="CI41" s="19">
        <f>+CJ41-CH41</f>
        <v>3043705.3900000006</v>
      </c>
      <c r="CJ41" s="19">
        <f>+'[12]RELATÓRIO PRT'!$DD$11</f>
        <v>28197407.502499998</v>
      </c>
      <c r="CK41" s="19">
        <f>+B41+E41+H41+K41+N41+Q41+T41+W41+Z41+AC41+AF41+AI41+AL41+AO41+AR41+AU41+AX41+BA41+BD41+BG41+BJ41+BM41+BP41+BS41+BV41+BY41</f>
        <v>653996254.925</v>
      </c>
      <c r="CL41" s="19">
        <f>+C41+F41+I41+L41+O41+R41+U41+X41+AA41+AD41+AG41+AJ41+AM41+AP41+AS41+AV41+AY41+BB41+BE41+BH41+BK41+BN41+BQ41+BT41+BW41+BZ41</f>
        <v>79136340.14000002</v>
      </c>
      <c r="CM41" s="19">
        <f>CK41+CL41</f>
        <v>733132595.0649999</v>
      </c>
      <c r="CN41" s="96"/>
      <c r="CO41" s="5"/>
      <c r="CP41" s="72"/>
      <c r="CQ41" s="5"/>
    </row>
    <row r="42" spans="1:95" ht="15">
      <c r="A42" s="15" t="s">
        <v>8</v>
      </c>
      <c r="B42" s="19">
        <f>+B41+B10</f>
        <v>1988801871.8604636</v>
      </c>
      <c r="C42" s="19">
        <f>+C41+C10</f>
        <v>8070544818.903061</v>
      </c>
      <c r="D42" s="19">
        <f>+D41+D10</f>
        <v>10059346690.763525</v>
      </c>
      <c r="E42" s="19">
        <f aca="true" t="shared" si="80" ref="E42:BP42">+E41+E10</f>
        <v>2773028347.1535616</v>
      </c>
      <c r="F42" s="19">
        <f t="shared" si="80"/>
        <v>8875787195.6321</v>
      </c>
      <c r="G42" s="19">
        <f t="shared" si="80"/>
        <v>11648815542.785662</v>
      </c>
      <c r="H42" s="19">
        <f t="shared" si="80"/>
        <v>4348088798.451283</v>
      </c>
      <c r="I42" s="19">
        <f t="shared" si="80"/>
        <v>8959172835.16097</v>
      </c>
      <c r="J42" s="19">
        <f t="shared" si="80"/>
        <v>13307261633.612255</v>
      </c>
      <c r="K42" s="19">
        <f t="shared" si="80"/>
        <v>5940237044.739331</v>
      </c>
      <c r="L42" s="19">
        <f t="shared" si="80"/>
        <v>8936738485.2756</v>
      </c>
      <c r="M42" s="19">
        <f t="shared" si="80"/>
        <v>14876975530.014933</v>
      </c>
      <c r="N42" s="19">
        <f t="shared" si="80"/>
        <v>7545847451.503827</v>
      </c>
      <c r="O42" s="19">
        <f t="shared" si="80"/>
        <v>8908997065.252777</v>
      </c>
      <c r="P42" s="19">
        <f t="shared" si="80"/>
        <v>16454844516.756605</v>
      </c>
      <c r="Q42" s="19">
        <f t="shared" si="80"/>
        <v>8029137321.228097</v>
      </c>
      <c r="R42" s="19">
        <f t="shared" si="80"/>
        <v>8823765765.176096</v>
      </c>
      <c r="S42" s="19">
        <f t="shared" si="80"/>
        <v>16852903086.404196</v>
      </c>
      <c r="T42" s="19">
        <f t="shared" si="80"/>
        <v>9040391270.158604</v>
      </c>
      <c r="U42" s="19">
        <f t="shared" si="80"/>
        <v>8723977399.13784</v>
      </c>
      <c r="V42" s="19">
        <f t="shared" si="80"/>
        <v>17764368669.296444</v>
      </c>
      <c r="W42" s="19">
        <f t="shared" si="80"/>
        <v>9314030625.725252</v>
      </c>
      <c r="X42" s="19">
        <f t="shared" si="80"/>
        <v>8707572868.355122</v>
      </c>
      <c r="Y42" s="19">
        <f t="shared" si="80"/>
        <v>18021603494.08037</v>
      </c>
      <c r="Z42" s="19">
        <f t="shared" si="80"/>
        <v>9501987176.897758</v>
      </c>
      <c r="AA42" s="19">
        <f t="shared" si="80"/>
        <v>8587006346.400248</v>
      </c>
      <c r="AB42" s="19">
        <f t="shared" si="80"/>
        <v>18088993523.298004</v>
      </c>
      <c r="AC42" s="19">
        <f t="shared" si="80"/>
        <v>9271040519.992826</v>
      </c>
      <c r="AD42" s="19">
        <f t="shared" si="80"/>
        <v>8469363652.419145</v>
      </c>
      <c r="AE42" s="19">
        <f t="shared" si="80"/>
        <v>17740404172.411972</v>
      </c>
      <c r="AF42" s="19">
        <f t="shared" si="80"/>
        <v>9659951354.882467</v>
      </c>
      <c r="AG42" s="19">
        <f t="shared" si="80"/>
        <v>8400708988.548452</v>
      </c>
      <c r="AH42" s="19">
        <f t="shared" si="80"/>
        <v>18060660343.43092</v>
      </c>
      <c r="AI42" s="19">
        <f t="shared" si="80"/>
        <v>10352120232.5325</v>
      </c>
      <c r="AJ42" s="19">
        <f t="shared" si="80"/>
        <v>8319528135.960302</v>
      </c>
      <c r="AK42" s="19">
        <f t="shared" si="80"/>
        <v>18671648368.4928</v>
      </c>
      <c r="AL42" s="19">
        <f t="shared" si="80"/>
        <v>11101580397.310501</v>
      </c>
      <c r="AM42" s="19">
        <f t="shared" si="80"/>
        <v>8214182093.358415</v>
      </c>
      <c r="AN42" s="19">
        <f t="shared" si="80"/>
        <v>19315762490.66891</v>
      </c>
      <c r="AO42" s="19">
        <f t="shared" si="80"/>
        <v>11821039946.9245</v>
      </c>
      <c r="AP42" s="19">
        <f t="shared" si="80"/>
        <v>8001324731.65837</v>
      </c>
      <c r="AQ42" s="19">
        <f t="shared" si="80"/>
        <v>19822364678.582867</v>
      </c>
      <c r="AR42" s="19">
        <f t="shared" si="80"/>
        <v>12540830962.7825</v>
      </c>
      <c r="AS42" s="19">
        <f t="shared" si="80"/>
        <v>7754349638.102545</v>
      </c>
      <c r="AT42" s="19">
        <f t="shared" si="80"/>
        <v>20295180600.88504</v>
      </c>
      <c r="AU42" s="19">
        <f t="shared" si="80"/>
        <v>13396250528.206497</v>
      </c>
      <c r="AV42" s="19">
        <f t="shared" si="80"/>
        <v>7468938215.190256</v>
      </c>
      <c r="AW42" s="19">
        <f t="shared" si="80"/>
        <v>20865188743.396755</v>
      </c>
      <c r="AX42" s="19">
        <f t="shared" si="80"/>
        <v>14010247226.559502</v>
      </c>
      <c r="AY42" s="19">
        <f t="shared" si="80"/>
        <v>7154993945.115</v>
      </c>
      <c r="AZ42" s="19">
        <f t="shared" si="80"/>
        <v>21165241171.6745</v>
      </c>
      <c r="BA42" s="19">
        <f t="shared" si="80"/>
        <v>14966690640.3075</v>
      </c>
      <c r="BB42" s="19">
        <f t="shared" si="80"/>
        <v>6794159189.809999</v>
      </c>
      <c r="BC42" s="19">
        <f t="shared" si="80"/>
        <v>21760849830.117496</v>
      </c>
      <c r="BD42" s="19">
        <f t="shared" si="80"/>
        <v>15997811270.222498</v>
      </c>
      <c r="BE42" s="19">
        <f t="shared" si="80"/>
        <v>6394458414.45</v>
      </c>
      <c r="BF42" s="19">
        <f t="shared" si="80"/>
        <v>22392269684.672497</v>
      </c>
      <c r="BG42" s="19">
        <f t="shared" si="80"/>
        <v>17211747426.8825</v>
      </c>
      <c r="BH42" s="19">
        <f t="shared" si="80"/>
        <v>5939037389.94</v>
      </c>
      <c r="BI42" s="19">
        <f t="shared" si="80"/>
        <v>23150784816.822502</v>
      </c>
      <c r="BJ42" s="19">
        <f t="shared" si="80"/>
        <v>18185002939.3625</v>
      </c>
      <c r="BK42" s="19">
        <f t="shared" si="80"/>
        <v>5428881580.88</v>
      </c>
      <c r="BL42" s="19">
        <f t="shared" si="80"/>
        <v>23613884520.2425</v>
      </c>
      <c r="BM42" s="19">
        <f t="shared" si="80"/>
        <v>19175550063.962498</v>
      </c>
      <c r="BN42" s="19">
        <f t="shared" si="80"/>
        <v>4847291497.21</v>
      </c>
      <c r="BO42" s="19">
        <f t="shared" si="80"/>
        <v>24022841561.172497</v>
      </c>
      <c r="BP42" s="19">
        <f t="shared" si="80"/>
        <v>20647189418.7025</v>
      </c>
      <c r="BQ42" s="19">
        <f aca="true" t="shared" si="81" ref="BQ42:CA42">+BQ41+BQ10</f>
        <v>4199746815.22</v>
      </c>
      <c r="BR42" s="19">
        <f t="shared" si="81"/>
        <v>24846936233.922497</v>
      </c>
      <c r="BS42" s="19">
        <f t="shared" si="81"/>
        <v>22231651799.5025</v>
      </c>
      <c r="BT42" s="19">
        <f t="shared" si="81"/>
        <v>3468678482.12</v>
      </c>
      <c r="BU42" s="19">
        <f t="shared" si="81"/>
        <v>25700330281.6225</v>
      </c>
      <c r="BV42" s="19">
        <f t="shared" si="81"/>
        <v>23932907227.662502</v>
      </c>
      <c r="BW42" s="19">
        <f t="shared" si="81"/>
        <v>2651049965.2999997</v>
      </c>
      <c r="BX42" s="19">
        <f t="shared" si="81"/>
        <v>26583957192.962498</v>
      </c>
      <c r="BY42" s="19">
        <f t="shared" si="81"/>
        <v>23258056241.032497</v>
      </c>
      <c r="BZ42" s="19">
        <f t="shared" si="81"/>
        <v>1724944157.1899998</v>
      </c>
      <c r="CA42" s="19">
        <f t="shared" si="81"/>
        <v>24983000398.2225</v>
      </c>
      <c r="CB42" s="19">
        <f aca="true" t="shared" si="82" ref="CB42:CM42">+CB41+CB10</f>
        <v>11983109593.8225</v>
      </c>
      <c r="CC42" s="19">
        <f t="shared" si="82"/>
        <v>1076700468.02</v>
      </c>
      <c r="CD42" s="19">
        <f t="shared" si="82"/>
        <v>13059810061.8425</v>
      </c>
      <c r="CE42" s="19">
        <f t="shared" si="82"/>
        <v>12909719074.212498</v>
      </c>
      <c r="CF42" s="19">
        <f t="shared" si="82"/>
        <v>602053918.18</v>
      </c>
      <c r="CG42" s="19">
        <f t="shared" si="82"/>
        <v>13511772992.3925</v>
      </c>
      <c r="CH42" s="19">
        <f t="shared" si="82"/>
        <v>7997268983.972501</v>
      </c>
      <c r="CI42" s="19">
        <f t="shared" si="82"/>
        <v>111691947.69000001</v>
      </c>
      <c r="CJ42" s="19">
        <f t="shared" si="82"/>
        <v>8108960931.6625</v>
      </c>
      <c r="CK42" s="19">
        <f t="shared" si="82"/>
        <v>359055854650.21704</v>
      </c>
      <c r="CL42" s="19">
        <f t="shared" si="82"/>
        <v>185606514889.4863</v>
      </c>
      <c r="CM42" s="19">
        <f t="shared" si="82"/>
        <v>544662369539.7033</v>
      </c>
      <c r="CO42" s="5"/>
      <c r="CP42" s="72"/>
      <c r="CQ42" s="5"/>
    </row>
    <row r="43" spans="1:95" ht="15.75" hidden="1">
      <c r="A43" s="15" t="s">
        <v>89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34"/>
      <c r="CO43" s="5"/>
      <c r="CP43" s="72"/>
      <c r="CQ43" s="5"/>
    </row>
    <row r="44" spans="1:95" ht="15" hidden="1">
      <c r="A44" s="25" t="s">
        <v>28</v>
      </c>
      <c r="B44" s="26"/>
      <c r="C44" s="26"/>
      <c r="D44" s="26" t="e">
        <f>+D42/D43</f>
        <v>#DIV/0!</v>
      </c>
      <c r="E44" s="26"/>
      <c r="F44" s="26"/>
      <c r="G44" s="26" t="e">
        <f>+G42/G43</f>
        <v>#DIV/0!</v>
      </c>
      <c r="H44" s="26"/>
      <c r="I44" s="26"/>
      <c r="J44" s="26" t="e">
        <f>+J42/J43</f>
        <v>#DIV/0!</v>
      </c>
      <c r="K44" s="26"/>
      <c r="L44" s="26"/>
      <c r="M44" s="26" t="e">
        <f>+M42/M43</f>
        <v>#DIV/0!</v>
      </c>
      <c r="N44" s="26"/>
      <c r="O44" s="26"/>
      <c r="P44" s="26" t="e">
        <f>+P42/P43</f>
        <v>#DIV/0!</v>
      </c>
      <c r="Q44" s="26"/>
      <c r="R44" s="26"/>
      <c r="S44" s="26" t="e">
        <f>+S42/S43</f>
        <v>#DIV/0!</v>
      </c>
      <c r="T44" s="26"/>
      <c r="U44" s="26"/>
      <c r="V44" s="26" t="e">
        <f>+V42/V43</f>
        <v>#DIV/0!</v>
      </c>
      <c r="W44" s="26"/>
      <c r="X44" s="26"/>
      <c r="Y44" s="26" t="e">
        <f>+Y42/Y43</f>
        <v>#DIV/0!</v>
      </c>
      <c r="Z44" s="26"/>
      <c r="AA44" s="26"/>
      <c r="AB44" s="26" t="e">
        <f>+AB42/AB43</f>
        <v>#DIV/0!</v>
      </c>
      <c r="AC44" s="26"/>
      <c r="AD44" s="26"/>
      <c r="AE44" s="26" t="e">
        <f>+AE42/AE43</f>
        <v>#DIV/0!</v>
      </c>
      <c r="AF44" s="26"/>
      <c r="AG44" s="26"/>
      <c r="AH44" s="26" t="e">
        <f>+AH42/AH43</f>
        <v>#DIV/0!</v>
      </c>
      <c r="AI44" s="26"/>
      <c r="AJ44" s="26"/>
      <c r="AK44" s="26" t="e">
        <f>+AK42/AK43</f>
        <v>#DIV/0!</v>
      </c>
      <c r="AL44" s="26"/>
      <c r="AM44" s="26"/>
      <c r="AN44" s="26" t="e">
        <f>+AN42/AN43</f>
        <v>#DIV/0!</v>
      </c>
      <c r="AO44" s="26"/>
      <c r="AP44" s="26"/>
      <c r="AQ44" s="26" t="e">
        <f>+AQ42/AQ43</f>
        <v>#DIV/0!</v>
      </c>
      <c r="AR44" s="26"/>
      <c r="AS44" s="26"/>
      <c r="AT44" s="26" t="e">
        <f>+AT42/AT43</f>
        <v>#DIV/0!</v>
      </c>
      <c r="AU44" s="26"/>
      <c r="AV44" s="26"/>
      <c r="AW44" s="26" t="e">
        <f>+AW42/AW43</f>
        <v>#DIV/0!</v>
      </c>
      <c r="AX44" s="26"/>
      <c r="AY44" s="26"/>
      <c r="AZ44" s="26" t="e">
        <f>+AZ42/AZ43</f>
        <v>#DIV/0!</v>
      </c>
      <c r="BA44" s="26"/>
      <c r="BB44" s="26"/>
      <c r="BC44" s="26" t="e">
        <f>+BC42/BC43</f>
        <v>#DIV/0!</v>
      </c>
      <c r="BD44" s="26"/>
      <c r="BE44" s="26"/>
      <c r="BF44" s="26" t="e">
        <f>+BF42/BF43</f>
        <v>#DIV/0!</v>
      </c>
      <c r="BG44" s="26"/>
      <c r="BH44" s="26"/>
      <c r="BI44" s="26" t="e">
        <f>+BI42/BI43</f>
        <v>#DIV/0!</v>
      </c>
      <c r="BJ44" s="26"/>
      <c r="BK44" s="26"/>
      <c r="BL44" s="26" t="e">
        <f>+BL42/BL43</f>
        <v>#DIV/0!</v>
      </c>
      <c r="BM44" s="26"/>
      <c r="BN44" s="26"/>
      <c r="BO44" s="26" t="e">
        <f>+BO42/BO43</f>
        <v>#DIV/0!</v>
      </c>
      <c r="BP44" s="26"/>
      <c r="BQ44" s="26"/>
      <c r="BR44" s="26" t="e">
        <f>+BR42/BR43</f>
        <v>#DIV/0!</v>
      </c>
      <c r="BS44" s="26"/>
      <c r="BT44" s="26"/>
      <c r="BU44" s="26" t="e">
        <f>+BU42/BU43</f>
        <v>#DIV/0!</v>
      </c>
      <c r="BV44" s="26"/>
      <c r="BW44" s="26"/>
      <c r="BX44" s="26" t="e">
        <f>+BX42/BX43</f>
        <v>#DIV/0!</v>
      </c>
      <c r="BY44" s="26"/>
      <c r="BZ44" s="26"/>
      <c r="CA44" s="26" t="e">
        <f>+CA42/CA43</f>
        <v>#DIV/0!</v>
      </c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 t="e">
        <f>+CM42/CM43</f>
        <v>#DIV/0!</v>
      </c>
      <c r="CO44" s="5"/>
      <c r="CP44" s="72"/>
      <c r="CQ44" s="5"/>
    </row>
    <row r="45" spans="1:94" ht="15" hidden="1">
      <c r="A45" s="135" t="s">
        <v>90</v>
      </c>
      <c r="B45" s="136"/>
      <c r="C45" s="136"/>
      <c r="D45" s="91"/>
      <c r="E45" s="136"/>
      <c r="F45" s="136"/>
      <c r="H45" s="78">
        <f>H10-234874102.26</f>
        <v>4088060994.078783</v>
      </c>
      <c r="I45" s="77"/>
      <c r="K45" s="137"/>
      <c r="L45" s="137"/>
      <c r="N45" s="138"/>
      <c r="O45" s="138"/>
      <c r="Q45" s="139"/>
      <c r="R45" s="140"/>
      <c r="CP45" s="72"/>
    </row>
    <row r="46" spans="1:94" ht="15">
      <c r="A46" s="89"/>
      <c r="B46" s="89"/>
      <c r="C46" s="89"/>
      <c r="D46" s="103"/>
      <c r="E46" s="89"/>
      <c r="F46" s="89"/>
      <c r="G46" s="89"/>
      <c r="H46" s="101"/>
      <c r="I46" s="101"/>
      <c r="J46" s="89"/>
      <c r="K46" s="141"/>
      <c r="L46" s="141"/>
      <c r="M46" s="89"/>
      <c r="N46" s="89"/>
      <c r="O46" s="89"/>
      <c r="P46" s="89"/>
      <c r="Q46" s="113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P46" s="72"/>
    </row>
    <row r="47" spans="1:93" ht="15" hidden="1">
      <c r="A47" s="112" t="s">
        <v>129</v>
      </c>
      <c r="B47" s="113">
        <f>+'[9]COMPR.ANUAL2043'!L8*1000</f>
        <v>5575819426.7534</v>
      </c>
      <c r="C47" s="113">
        <f>+'[9]COMPR.ANUAL2043'!M8*1000</f>
        <v>3177740433.27</v>
      </c>
      <c r="D47" s="113">
        <f>+B47+C47</f>
        <v>8753559860.0234</v>
      </c>
      <c r="E47" s="113">
        <f>+'[9]COMPR.ANUAL2043'!N8*1000</f>
        <v>5860394198.6327</v>
      </c>
      <c r="F47" s="113">
        <f>+'[9]COMPR.ANUAL2043'!O8*1000</f>
        <v>2917325778.94</v>
      </c>
      <c r="G47" s="113">
        <f>+E47+F47</f>
        <v>8777719977.5727</v>
      </c>
      <c r="H47" s="113">
        <f>+'[9]COMPR.ANUAL2043'!P8*1000</f>
        <v>6199421363.902</v>
      </c>
      <c r="I47" s="113">
        <f>+'[9]COMPR.ANUAL2043'!Q8*1000</f>
        <v>2640309309.32</v>
      </c>
      <c r="J47" s="113">
        <f>+H47+I47</f>
        <v>8839730673.222</v>
      </c>
      <c r="K47" s="113">
        <f>+'[9]COMPR.ANUAL2043'!R8*1000</f>
        <v>5747135164.825216</v>
      </c>
      <c r="L47" s="113">
        <f>+'[9]COMPR.ANUAL2043'!S8*1000</f>
        <v>2344930968.7799997</v>
      </c>
      <c r="M47" s="113">
        <f>+K47+L47</f>
        <v>8092066133.605216</v>
      </c>
      <c r="N47" s="113">
        <f>+'[9]COMPR.ANUAL2043'!T8*1000</f>
        <v>6026175972.514017</v>
      </c>
      <c r="O47" s="113">
        <f>+'[9]COMPR.ANUAL2043'!U8*1000</f>
        <v>2002468187.1499999</v>
      </c>
      <c r="P47" s="113">
        <f>+N47+O47</f>
        <v>8028644159.664017</v>
      </c>
      <c r="Q47" s="113">
        <f>+'[9]COMPR.ANUAL2043'!V8*1000</f>
        <v>6434120548.761817</v>
      </c>
      <c r="R47" s="113">
        <f>+'[9]COMPR.ANUAL2043'!W8*1000</f>
        <v>1688986375.43</v>
      </c>
      <c r="S47" s="113">
        <f>+Q47+R47</f>
        <v>8123106924.191817</v>
      </c>
      <c r="T47" s="113">
        <f>+'[9]COMPR.ANUAL2043'!X8*1000</f>
        <v>6851086437.493317</v>
      </c>
      <c r="U47" s="113">
        <f>+'[9]COMPR.ANUAL2043'!Y8*1000</f>
        <v>1360177642.16</v>
      </c>
      <c r="V47" s="113">
        <f>+T47+U47</f>
        <v>8211264079.6533165</v>
      </c>
      <c r="W47" s="113">
        <f>+'[9]COMPR.ANUAL2043'!Z8*1000</f>
        <v>6979125528.704316</v>
      </c>
      <c r="X47" s="113">
        <f>+'[9]COMPR.ANUAL2043'!AA8*1000</f>
        <v>1027052825.2500001</v>
      </c>
      <c r="Y47" s="113">
        <f>+W47+X47</f>
        <v>8006178353.954316</v>
      </c>
      <c r="Z47" s="113">
        <f>+'[9]COMPR.ANUAL2043'!AB8*1000</f>
        <v>7904340101.333851</v>
      </c>
      <c r="AA47" s="113">
        <f>+'[9]COMPR.ANUAL2043'!AC8*1000</f>
        <v>1224315066.591649</v>
      </c>
      <c r="AB47" s="113">
        <f>+Z47+AA47</f>
        <v>9128655167.925499</v>
      </c>
      <c r="AC47" s="113">
        <f>+'[9]COMPR.ANUAL2043'!AD8*1000</f>
        <v>5847871651.258477</v>
      </c>
      <c r="AD47" s="113">
        <f>+'[9]COMPR.ANUAL2043'!AE8*1000</f>
        <v>3254270609.121521</v>
      </c>
      <c r="AE47" s="113">
        <f>+AC47+AD47</f>
        <v>9102142260.379997</v>
      </c>
      <c r="AF47" s="113">
        <f>+'[9]COMPR.ANUAL2043'!AF8*1000</f>
        <v>5929347529.408876</v>
      </c>
      <c r="AG47" s="113">
        <f>+'[9]COMPR.ANUAL2043'!AG8*1000</f>
        <v>2955760499.931123</v>
      </c>
      <c r="AH47" s="113">
        <f>+AF47+AG47</f>
        <v>8885108029.34</v>
      </c>
      <c r="AI47" s="113">
        <f>+'[9]COMPR.ANUAL2043'!AH8*1000</f>
        <v>5878091304.227991</v>
      </c>
      <c r="AJ47" s="113">
        <f>+'[9]COMPR.ANUAL2043'!AI8*1000</f>
        <v>2613625829.3120093</v>
      </c>
      <c r="AK47" s="113">
        <f>+AI47+AJ47</f>
        <v>8491717133.540001</v>
      </c>
      <c r="AL47" s="113">
        <f>+'[9]COMPR.ANUAL2043'!AJ8*1000</f>
        <v>5539475084.376136</v>
      </c>
      <c r="AM47" s="113">
        <f>+'[9]COMPR.ANUAL2043'!AK8*1000</f>
        <v>2240599163.3438635</v>
      </c>
      <c r="AN47" s="113">
        <f>+AL47+AM47</f>
        <v>7780074247.719999</v>
      </c>
      <c r="AO47" s="113">
        <f>+'[9]COMPR.ANUAL2043'!AL8*1000</f>
        <v>5565401801.080285</v>
      </c>
      <c r="AP47" s="113">
        <f>+'[9]COMPR.ANUAL2043'!AM8*1000</f>
        <v>1914530199.0797148</v>
      </c>
      <c r="AQ47" s="113">
        <f>+AO47+AP47</f>
        <v>7479932000.16</v>
      </c>
      <c r="AR47" s="113">
        <f>+'[9]COMPR.ANUAL2043'!AN8*1000</f>
        <v>5749299135.482675</v>
      </c>
      <c r="AS47" s="113">
        <f>+'[9]COMPR.ANUAL2043'!AO8*1000</f>
        <v>1603590669.0373254</v>
      </c>
      <c r="AT47" s="113">
        <f>+AR47+AS47</f>
        <v>7352889804.52</v>
      </c>
      <c r="AU47" s="113">
        <f>+'[9]COMPR.ANUAL2043'!AP8*1000</f>
        <v>5990131187.4707985</v>
      </c>
      <c r="AV47" s="113">
        <f>+'[9]COMPR.ANUAL2043'!AQ8*1000</f>
        <v>1283313052.0092022</v>
      </c>
      <c r="AW47" s="113">
        <f>+AU47+AV47</f>
        <v>7273444239.4800005</v>
      </c>
      <c r="AX47" s="113">
        <f>+'[9]COMPR.ANUAL2043'!AR8*1000</f>
        <v>6190971205.353492</v>
      </c>
      <c r="AY47" s="113">
        <f>+'[9]COMPR.ANUAL2043'!AS8*1000</f>
        <v>938958113.6765081</v>
      </c>
      <c r="AZ47" s="113">
        <f>+AX47+AY47</f>
        <v>7129929319.03</v>
      </c>
      <c r="BA47" s="113">
        <f>+'[9]COMPR.ANUAL2043'!AT8*1000</f>
        <v>6438560389.543133</v>
      </c>
      <c r="BB47" s="113">
        <f>+'[9]COMPR.ANUAL2043'!AU8*1000</f>
        <v>581154773.9568655</v>
      </c>
      <c r="BC47" s="113">
        <f>+BA47+BB47</f>
        <v>7019715163.499998</v>
      </c>
      <c r="BD47" s="113">
        <f>+'[9]COMPR.ANUAL2043'!AV8*1000</f>
        <v>5552960922.054104</v>
      </c>
      <c r="BE47" s="113">
        <f>+'[9]COMPR.ANUAL2043'!AW8*1000</f>
        <v>208578042.57250267</v>
      </c>
      <c r="BF47" s="113">
        <f>+BD47+BE47</f>
        <v>5761538964.626607</v>
      </c>
      <c r="BG47" s="113">
        <f>+'[9]COMPR.ANUAL2043'!AX8*1000</f>
        <v>403681992.04</v>
      </c>
      <c r="BH47" s="113">
        <f>+'[9]COMPR.ANUAL2043'!AY8*1000</f>
        <v>47436604.82</v>
      </c>
      <c r="BI47" s="113">
        <f>+BG47+BH47</f>
        <v>451118596.86</v>
      </c>
      <c r="BJ47" s="113">
        <f>+'[9]COMPR.ANUAL2043'!AZ8*1000</f>
        <v>335556298.44000006</v>
      </c>
      <c r="BK47" s="113">
        <f>+'[9]COMPR.ANUAL2043'!BA8*1000</f>
        <v>30906924.689999994</v>
      </c>
      <c r="BL47" s="113">
        <f>+BJ47+BK47</f>
        <v>366463223.13000005</v>
      </c>
      <c r="BM47" s="113">
        <f>+'[9]COMPR.ANUAL2043'!BB8*1000</f>
        <v>250252522.44000003</v>
      </c>
      <c r="BN47" s="113">
        <f>+'[9]COMPR.ANUAL2043'!BC8*1000</f>
        <v>15337225.62</v>
      </c>
      <c r="BO47" s="113">
        <f>+BM47+BN47</f>
        <v>265589748.06000003</v>
      </c>
      <c r="BP47" s="113">
        <f>+'[9]COMPR.ANUAL2043'!BD8*1000</f>
        <v>126756026.2</v>
      </c>
      <c r="BQ47" s="113">
        <f>+'[9]COMPR.ANUAL2043'!BE8*1000</f>
        <v>2151900.85</v>
      </c>
      <c r="BR47" s="113">
        <f>+BP47+BQ47</f>
        <v>128907927.05</v>
      </c>
      <c r="BS47" s="113">
        <f>+'[8]COMPR.ANUAL2043'!BH$8*1000</f>
        <v>0</v>
      </c>
      <c r="BT47" s="113">
        <f>+'[8]COMPR.ANUAL2043'!BI$8*1000</f>
        <v>0</v>
      </c>
      <c r="BU47" s="113">
        <f>+BS47+BT47</f>
        <v>0</v>
      </c>
      <c r="BV47" s="113">
        <f>+'[8]COMPR.ANUAL2043'!BJ$8*1000</f>
        <v>0</v>
      </c>
      <c r="BW47" s="113">
        <f>+'[8]COMPR.ANUAL2043'!BK$8*1000</f>
        <v>0</v>
      </c>
      <c r="BX47" s="113">
        <f>+BV47+BW47</f>
        <v>0</v>
      </c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89"/>
      <c r="CL47" s="89"/>
      <c r="CM47" s="39"/>
      <c r="CO47" s="39"/>
    </row>
    <row r="48" spans="1:93" ht="15" hidden="1">
      <c r="A48" s="112" t="s">
        <v>130</v>
      </c>
      <c r="B48" s="111">
        <f aca="true" t="shared" si="83" ref="B48:AA48">+B47-B10</f>
        <v>3612171257.005436</v>
      </c>
      <c r="C48" s="111">
        <f t="shared" si="83"/>
        <v>-4889760680.243061</v>
      </c>
      <c r="D48" s="111">
        <f t="shared" si="83"/>
        <v>-1277589423.2376251</v>
      </c>
      <c r="E48" s="111">
        <f t="shared" si="83"/>
        <v>3112519553.5916386</v>
      </c>
      <c r="F48" s="111">
        <f t="shared" si="83"/>
        <v>-5955417711.302099</v>
      </c>
      <c r="G48" s="111">
        <f t="shared" si="83"/>
        <v>-2842898157.7104607</v>
      </c>
      <c r="H48" s="111">
        <f t="shared" si="83"/>
        <v>1876486267.5632172</v>
      </c>
      <c r="I48" s="111">
        <f t="shared" si="83"/>
        <v>-6315819820.450972</v>
      </c>
      <c r="J48" s="111">
        <f t="shared" si="83"/>
        <v>-4439333552.887754</v>
      </c>
      <c r="K48" s="111">
        <f t="shared" si="83"/>
        <v>-167948177.80161476</v>
      </c>
      <c r="L48" s="111">
        <f t="shared" si="83"/>
        <v>-6588763811.105601</v>
      </c>
      <c r="M48" s="111">
        <f t="shared" si="83"/>
        <v>-6756711988.907216</v>
      </c>
      <c r="N48" s="111">
        <f t="shared" si="83"/>
        <v>-1494517776.8773098</v>
      </c>
      <c r="O48" s="111">
        <f t="shared" si="83"/>
        <v>-6903485172.712778</v>
      </c>
      <c r="P48" s="111">
        <f t="shared" si="83"/>
        <v>-8398002949.590088</v>
      </c>
      <c r="Q48" s="111">
        <f t="shared" si="83"/>
        <v>-1569863070.3537798</v>
      </c>
      <c r="R48" s="111">
        <f t="shared" si="83"/>
        <v>-7131735684.356096</v>
      </c>
      <c r="S48" s="111">
        <f t="shared" si="83"/>
        <v>-8701598754.709877</v>
      </c>
      <c r="T48" s="111">
        <f t="shared" si="83"/>
        <v>-2164151130.552788</v>
      </c>
      <c r="U48" s="111">
        <f t="shared" si="83"/>
        <v>-7360756051.587841</v>
      </c>
      <c r="V48" s="111">
        <f t="shared" si="83"/>
        <v>-9524907182.140629</v>
      </c>
      <c r="W48" s="111">
        <f t="shared" si="83"/>
        <v>-2309751394.908437</v>
      </c>
      <c r="X48" s="111">
        <f t="shared" si="83"/>
        <v>-7677476337.715122</v>
      </c>
      <c r="Y48" s="111">
        <f t="shared" si="83"/>
        <v>-9987227732.623558</v>
      </c>
      <c r="Z48" s="111">
        <f t="shared" si="83"/>
        <v>-1572493373.4514084</v>
      </c>
      <c r="AA48" s="111">
        <f t="shared" si="83"/>
        <v>-7359647574.418598</v>
      </c>
      <c r="AB48" s="111">
        <f aca="true" t="shared" si="84" ref="AB48:BG48">+AB47-AB10</f>
        <v>-8932140947.870007</v>
      </c>
      <c r="AC48" s="111">
        <f t="shared" si="84"/>
        <v>-3398015166.62185</v>
      </c>
      <c r="AD48" s="111">
        <f t="shared" si="84"/>
        <v>-5212049337.907623</v>
      </c>
      <c r="AE48" s="111">
        <f t="shared" si="84"/>
        <v>-8610064504.529476</v>
      </c>
      <c r="AF48" s="111">
        <f t="shared" si="84"/>
        <v>-3705450123.3610916</v>
      </c>
      <c r="AG48" s="111">
        <f t="shared" si="84"/>
        <v>-5441904783.227329</v>
      </c>
      <c r="AH48" s="111">
        <f t="shared" si="84"/>
        <v>-9147354906.58842</v>
      </c>
      <c r="AI48" s="111">
        <f t="shared" si="84"/>
        <v>-4448875226.192009</v>
      </c>
      <c r="AJ48" s="111">
        <f t="shared" si="84"/>
        <v>-5702858601.258293</v>
      </c>
      <c r="AK48" s="111">
        <f t="shared" si="84"/>
        <v>-10151733827.450302</v>
      </c>
      <c r="AL48" s="111">
        <f t="shared" si="84"/>
        <v>-5536951610.821866</v>
      </c>
      <c r="AM48" s="111">
        <f t="shared" si="84"/>
        <v>-5970539224.624551</v>
      </c>
      <c r="AN48" s="111">
        <f t="shared" si="84"/>
        <v>-11507490835.446413</v>
      </c>
      <c r="AO48" s="111">
        <f t="shared" si="84"/>
        <v>-6230484443.731715</v>
      </c>
      <c r="AP48" s="111">
        <f t="shared" si="84"/>
        <v>-6083750827.188655</v>
      </c>
      <c r="AQ48" s="111">
        <f t="shared" si="84"/>
        <v>-12314235270.920368</v>
      </c>
      <c r="AR48" s="111">
        <f t="shared" si="84"/>
        <v>-6766378125.1873255</v>
      </c>
      <c r="AS48" s="111">
        <f t="shared" si="84"/>
        <v>-6147715263.675219</v>
      </c>
      <c r="AT48" s="111">
        <f t="shared" si="84"/>
        <v>-12914093388.862541</v>
      </c>
      <c r="AU48" s="111">
        <f t="shared" si="84"/>
        <v>-7380965638.623199</v>
      </c>
      <c r="AV48" s="111">
        <f t="shared" si="84"/>
        <v>-6182581457.791054</v>
      </c>
      <c r="AW48" s="111">
        <f t="shared" si="84"/>
        <v>-13563547096.414257</v>
      </c>
      <c r="AX48" s="111">
        <f t="shared" si="84"/>
        <v>-7794122319.093511</v>
      </c>
      <c r="AY48" s="111">
        <f t="shared" si="84"/>
        <v>-6212992126.0484915</v>
      </c>
      <c r="AZ48" s="111">
        <f t="shared" si="84"/>
        <v>-14007114445.142002</v>
      </c>
      <c r="BA48" s="111">
        <f t="shared" si="84"/>
        <v>-8502976548.651869</v>
      </c>
      <c r="BB48" s="111">
        <f t="shared" si="84"/>
        <v>-6209960710.463134</v>
      </c>
      <c r="BC48" s="111">
        <f t="shared" si="84"/>
        <v>-14712937259.115</v>
      </c>
      <c r="BD48" s="111">
        <f t="shared" si="84"/>
        <v>-10419696646.055895</v>
      </c>
      <c r="BE48" s="111">
        <f t="shared" si="84"/>
        <v>-6182836666.487496</v>
      </c>
      <c r="BF48" s="111">
        <f t="shared" si="84"/>
        <v>-16602533312.543392</v>
      </c>
      <c r="BG48" s="111">
        <f t="shared" si="84"/>
        <v>-16782911732.73</v>
      </c>
      <c r="BH48" s="111">
        <f aca="true" t="shared" si="85" ref="BH48:CA48">+BH47-BH10</f>
        <v>-5888557079.73</v>
      </c>
      <c r="BI48" s="111">
        <f t="shared" si="85"/>
        <v>-22671468812.460003</v>
      </c>
      <c r="BJ48" s="111">
        <f t="shared" si="85"/>
        <v>-17824292938.81</v>
      </c>
      <c r="BK48" s="111">
        <f t="shared" si="85"/>
        <v>-5394930950.8</v>
      </c>
      <c r="BL48" s="111">
        <f t="shared" si="85"/>
        <v>-23219223889.61</v>
      </c>
      <c r="BM48" s="111">
        <f t="shared" si="85"/>
        <v>-18900143839.41</v>
      </c>
      <c r="BN48" s="111">
        <f t="shared" si="85"/>
        <v>-4828910566.2</v>
      </c>
      <c r="BO48" s="111">
        <f t="shared" si="85"/>
        <v>-23729054405.609997</v>
      </c>
      <c r="BP48" s="111">
        <f t="shared" si="85"/>
        <v>-20495279690.39</v>
      </c>
      <c r="BQ48" s="111">
        <f t="shared" si="85"/>
        <v>-4194551208.98</v>
      </c>
      <c r="BR48" s="111">
        <f t="shared" si="85"/>
        <v>-24689830899.37</v>
      </c>
      <c r="BS48" s="111">
        <f t="shared" si="85"/>
        <v>-22206498097.39</v>
      </c>
      <c r="BT48" s="111">
        <f t="shared" si="85"/>
        <v>-3465634776.73</v>
      </c>
      <c r="BU48" s="111">
        <f t="shared" si="85"/>
        <v>-25672132874.120003</v>
      </c>
      <c r="BV48" s="111">
        <f t="shared" si="85"/>
        <v>-23907753525.550003</v>
      </c>
      <c r="BW48" s="111">
        <f t="shared" si="85"/>
        <v>-2648006259.91</v>
      </c>
      <c r="BX48" s="111">
        <f t="shared" si="85"/>
        <v>-26555759785.46</v>
      </c>
      <c r="BY48" s="111">
        <f t="shared" si="85"/>
        <v>-23232902538.92</v>
      </c>
      <c r="BZ48" s="111">
        <f t="shared" si="85"/>
        <v>-1721900451.7999997</v>
      </c>
      <c r="CA48" s="111">
        <f t="shared" si="85"/>
        <v>-24954802990.72</v>
      </c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O48" s="39"/>
    </row>
    <row r="49" spans="1:93" ht="14.25" customHeight="1" hidden="1">
      <c r="A49" s="112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O49" s="39"/>
    </row>
    <row r="50" spans="1:93" ht="15" hidden="1">
      <c r="A50" s="112" t="s">
        <v>131</v>
      </c>
      <c r="B50" s="113">
        <f aca="true" t="shared" si="86" ref="B50:AA50">+B11</f>
        <v>1383620563.17</v>
      </c>
      <c r="C50" s="113">
        <f t="shared" si="86"/>
        <v>5845054958.961872</v>
      </c>
      <c r="D50" s="113">
        <f t="shared" si="86"/>
        <v>7228675522.131872</v>
      </c>
      <c r="E50" s="113">
        <f t="shared" si="86"/>
        <v>1716550858.5718095</v>
      </c>
      <c r="F50" s="113">
        <f t="shared" si="86"/>
        <v>6770432200.619999</v>
      </c>
      <c r="G50" s="113">
        <f t="shared" si="86"/>
        <v>8486983059.191809</v>
      </c>
      <c r="H50" s="113">
        <f t="shared" si="86"/>
        <v>2722179511.7212515</v>
      </c>
      <c r="I50" s="113">
        <f t="shared" si="86"/>
        <v>7032234054.929999</v>
      </c>
      <c r="J50" s="113">
        <f t="shared" si="86"/>
        <v>9754413566.65125</v>
      </c>
      <c r="K50" s="113">
        <f t="shared" si="86"/>
        <v>3796381318.7339554</v>
      </c>
      <c r="L50" s="113">
        <f t="shared" si="86"/>
        <v>7245587685.66</v>
      </c>
      <c r="M50" s="113">
        <f t="shared" si="86"/>
        <v>11041969004.393955</v>
      </c>
      <c r="N50" s="113">
        <f t="shared" si="86"/>
        <v>5153574661.700001</v>
      </c>
      <c r="O50" s="113">
        <f t="shared" si="86"/>
        <v>7408198460.98</v>
      </c>
      <c r="P50" s="113">
        <f t="shared" si="86"/>
        <v>12561773122.68</v>
      </c>
      <c r="Q50" s="113">
        <f t="shared" si="86"/>
        <v>5599352592.460001</v>
      </c>
      <c r="R50" s="113">
        <f t="shared" si="86"/>
        <v>7501892672.789999</v>
      </c>
      <c r="S50" s="113">
        <f t="shared" si="86"/>
        <v>13101245265.25</v>
      </c>
      <c r="T50" s="113">
        <f t="shared" si="86"/>
        <v>6073022815.620001</v>
      </c>
      <c r="U50" s="113">
        <f t="shared" si="86"/>
        <v>7590617939.469999</v>
      </c>
      <c r="V50" s="113">
        <f t="shared" si="86"/>
        <v>13663640755.09</v>
      </c>
      <c r="W50" s="113">
        <f t="shared" si="86"/>
        <v>6487783153.15</v>
      </c>
      <c r="X50" s="113">
        <f t="shared" si="86"/>
        <v>7786813301.99</v>
      </c>
      <c r="Y50" s="113">
        <f t="shared" si="86"/>
        <v>14274596455.14</v>
      </c>
      <c r="Z50" s="113">
        <f t="shared" si="86"/>
        <v>7029079908.69</v>
      </c>
      <c r="AA50" s="113">
        <f t="shared" si="86"/>
        <v>7870727053.880001</v>
      </c>
      <c r="AB50" s="113">
        <f aca="true" t="shared" si="87" ref="AB50:BG50">+AB11</f>
        <v>14899806962.57</v>
      </c>
      <c r="AC50" s="113">
        <f t="shared" si="87"/>
        <v>7650901464.61</v>
      </c>
      <c r="AD50" s="113">
        <f t="shared" si="87"/>
        <v>7901290031.34</v>
      </c>
      <c r="AE50" s="113">
        <f t="shared" si="87"/>
        <v>15552191495.95</v>
      </c>
      <c r="AF50" s="113">
        <f t="shared" si="87"/>
        <v>8315146290.889999</v>
      </c>
      <c r="AG50" s="113">
        <f t="shared" si="87"/>
        <v>7917695168.869999</v>
      </c>
      <c r="AH50" s="113">
        <f t="shared" si="87"/>
        <v>16232841459.759998</v>
      </c>
      <c r="AI50" s="113">
        <f t="shared" si="87"/>
        <v>9036883358.45</v>
      </c>
      <c r="AJ50" s="113">
        <f t="shared" si="87"/>
        <v>7906398367.15</v>
      </c>
      <c r="AK50" s="113">
        <f t="shared" si="87"/>
        <v>16943281725.6</v>
      </c>
      <c r="AL50" s="113">
        <f t="shared" si="87"/>
        <v>9803110333.04</v>
      </c>
      <c r="AM50" s="113">
        <f t="shared" si="87"/>
        <v>7868858222.4</v>
      </c>
      <c r="AN50" s="113">
        <f t="shared" si="87"/>
        <v>17671968555.44</v>
      </c>
      <c r="AO50" s="113">
        <f t="shared" si="87"/>
        <v>10584990766.75</v>
      </c>
      <c r="AP50" s="113">
        <f t="shared" si="87"/>
        <v>7722313023.11</v>
      </c>
      <c r="AQ50" s="113">
        <f t="shared" si="87"/>
        <v>18307303789.86</v>
      </c>
      <c r="AR50" s="113">
        <f t="shared" si="87"/>
        <v>11399730818.16</v>
      </c>
      <c r="AS50" s="113">
        <f t="shared" si="87"/>
        <v>7537056983.51</v>
      </c>
      <c r="AT50" s="113">
        <f t="shared" si="87"/>
        <v>18936787801.67</v>
      </c>
      <c r="AU50" s="113">
        <f t="shared" si="87"/>
        <v>12276978146.759998</v>
      </c>
      <c r="AV50" s="113">
        <f t="shared" si="87"/>
        <v>7310939535.609999</v>
      </c>
      <c r="AW50" s="113">
        <f t="shared" si="87"/>
        <v>19587917682.37</v>
      </c>
      <c r="AX50" s="113">
        <f t="shared" si="87"/>
        <v>13211981207.320002</v>
      </c>
      <c r="AY50" s="113">
        <f t="shared" si="87"/>
        <v>7050130624.44</v>
      </c>
      <c r="AZ50" s="113">
        <f t="shared" si="87"/>
        <v>20262111831.760002</v>
      </c>
      <c r="BA50" s="113">
        <f t="shared" si="87"/>
        <v>14239192156.66</v>
      </c>
      <c r="BB50" s="113">
        <f t="shared" si="87"/>
        <v>6719989071.969999</v>
      </c>
      <c r="BC50" s="113">
        <f t="shared" si="87"/>
        <v>20959181228.629997</v>
      </c>
      <c r="BD50" s="113">
        <f t="shared" si="87"/>
        <v>15334239921.9</v>
      </c>
      <c r="BE50" s="113">
        <f t="shared" si="87"/>
        <v>6345615245.799999</v>
      </c>
      <c r="BF50" s="113">
        <f t="shared" si="87"/>
        <v>21679855167.699997</v>
      </c>
      <c r="BG50" s="113">
        <f t="shared" si="87"/>
        <v>16513267385.430002</v>
      </c>
      <c r="BH50" s="113">
        <f aca="true" t="shared" si="88" ref="BH50:CJ50">+BH11</f>
        <v>5912043548.9</v>
      </c>
      <c r="BI50" s="113">
        <f t="shared" si="88"/>
        <v>22425310934.33</v>
      </c>
      <c r="BJ50" s="113">
        <f t="shared" si="88"/>
        <v>17774928431.99</v>
      </c>
      <c r="BK50" s="113">
        <f t="shared" si="88"/>
        <v>5422245449.95</v>
      </c>
      <c r="BL50" s="113">
        <f t="shared" si="88"/>
        <v>23197173881.940002</v>
      </c>
      <c r="BM50" s="113">
        <f t="shared" si="88"/>
        <v>19150396361.85</v>
      </c>
      <c r="BN50" s="113">
        <f t="shared" si="88"/>
        <v>4844247791.82</v>
      </c>
      <c r="BO50" s="113">
        <f t="shared" si="88"/>
        <v>23994644153.67</v>
      </c>
      <c r="BP50" s="113">
        <f t="shared" si="88"/>
        <v>20622035716.59</v>
      </c>
      <c r="BQ50" s="113">
        <f t="shared" si="88"/>
        <v>4196703109.83</v>
      </c>
      <c r="BR50" s="113">
        <f t="shared" si="88"/>
        <v>24818738826.42</v>
      </c>
      <c r="BS50" s="113">
        <f t="shared" si="88"/>
        <v>22206498097.39</v>
      </c>
      <c r="BT50" s="113">
        <f t="shared" si="88"/>
        <v>3465634776.73</v>
      </c>
      <c r="BU50" s="113">
        <f t="shared" si="88"/>
        <v>25672132874.120003</v>
      </c>
      <c r="BV50" s="113">
        <f t="shared" si="88"/>
        <v>23907753525.550003</v>
      </c>
      <c r="BW50" s="113">
        <f t="shared" si="88"/>
        <v>2648006259.91</v>
      </c>
      <c r="BX50" s="113">
        <f t="shared" si="88"/>
        <v>26555759785.46</v>
      </c>
      <c r="BY50" s="113">
        <f t="shared" si="88"/>
        <v>23232902538.92</v>
      </c>
      <c r="BZ50" s="113">
        <f t="shared" si="88"/>
        <v>1721900451.7999997</v>
      </c>
      <c r="CA50" s="113">
        <f t="shared" si="88"/>
        <v>24954802990.72</v>
      </c>
      <c r="CB50" s="113">
        <f t="shared" si="88"/>
        <v>11957955891.710001</v>
      </c>
      <c r="CC50" s="113">
        <f t="shared" si="88"/>
        <v>1073656762.63</v>
      </c>
      <c r="CD50" s="113">
        <f t="shared" si="88"/>
        <v>13031612654.34</v>
      </c>
      <c r="CE50" s="113">
        <f t="shared" si="88"/>
        <v>12884565372.099998</v>
      </c>
      <c r="CF50" s="113">
        <f t="shared" si="88"/>
        <v>599010212.79</v>
      </c>
      <c r="CG50" s="113">
        <f t="shared" si="88"/>
        <v>13483575584.89</v>
      </c>
      <c r="CH50" s="113">
        <f t="shared" si="88"/>
        <v>7972115281.860001</v>
      </c>
      <c r="CI50" s="113">
        <f t="shared" si="88"/>
        <v>108648242.30000001</v>
      </c>
      <c r="CJ50" s="113">
        <f t="shared" si="88"/>
        <v>8080763524.160001</v>
      </c>
      <c r="CK50" s="89"/>
      <c r="CL50" s="89"/>
      <c r="CM50" s="89"/>
      <c r="CO50" s="39"/>
    </row>
    <row r="51" spans="1:93" ht="15" hidden="1">
      <c r="A51" s="112" t="s">
        <v>132</v>
      </c>
      <c r="B51" s="113">
        <f aca="true" t="shared" si="89" ref="B51:AA51">+B18</f>
        <v>404944837.5834749</v>
      </c>
      <c r="C51" s="113">
        <f t="shared" si="89"/>
        <v>1482760188.499596</v>
      </c>
      <c r="D51" s="113">
        <f t="shared" si="89"/>
        <v>1887705026.0830708</v>
      </c>
      <c r="E51" s="113">
        <f t="shared" si="89"/>
        <v>726030741.7075931</v>
      </c>
      <c r="F51" s="113">
        <f t="shared" si="89"/>
        <v>1387522335.1472242</v>
      </c>
      <c r="G51" s="113">
        <f t="shared" si="89"/>
        <v>2113553076.8548172</v>
      </c>
      <c r="H51" s="113">
        <f t="shared" si="89"/>
        <v>1097238629.7651224</v>
      </c>
      <c r="I51" s="113">
        <f t="shared" si="89"/>
        <v>1262878579.441326</v>
      </c>
      <c r="J51" s="113">
        <f t="shared" si="89"/>
        <v>2360117209.206448</v>
      </c>
      <c r="K51" s="113">
        <f t="shared" si="89"/>
        <v>1423020688.9088888</v>
      </c>
      <c r="L51" s="113">
        <f t="shared" si="89"/>
        <v>1079452452.7909777</v>
      </c>
      <c r="M51" s="113">
        <f t="shared" si="89"/>
        <v>2502473141.699867</v>
      </c>
      <c r="N51" s="113">
        <f t="shared" si="89"/>
        <v>1662326512.7373266</v>
      </c>
      <c r="O51" s="113">
        <f t="shared" si="89"/>
        <v>944487865.9240301</v>
      </c>
      <c r="P51" s="113">
        <f t="shared" si="89"/>
        <v>2606814378.661356</v>
      </c>
      <c r="Q51" s="113">
        <f t="shared" si="89"/>
        <v>1691336439.253596</v>
      </c>
      <c r="R51" s="113">
        <f t="shared" si="89"/>
        <v>807189033.5772252</v>
      </c>
      <c r="S51" s="113">
        <f t="shared" si="89"/>
        <v>2498525472.8308215</v>
      </c>
      <c r="T51" s="113">
        <f t="shared" si="89"/>
        <v>1729509990.6901844</v>
      </c>
      <c r="U51" s="113">
        <f t="shared" si="89"/>
        <v>668305227.2468438</v>
      </c>
      <c r="V51" s="113">
        <f t="shared" si="89"/>
        <v>2397815217.9370284</v>
      </c>
      <c r="W51" s="113">
        <f t="shared" si="89"/>
        <v>1767318820.9127536</v>
      </c>
      <c r="X51" s="113">
        <f t="shared" si="89"/>
        <v>526648644.18</v>
      </c>
      <c r="Y51" s="113">
        <f t="shared" si="89"/>
        <v>2293967465.092754</v>
      </c>
      <c r="Z51" s="113">
        <f t="shared" si="89"/>
        <v>1503360763.155259</v>
      </c>
      <c r="AA51" s="113">
        <f t="shared" si="89"/>
        <v>383090406.96000004</v>
      </c>
      <c r="AB51" s="113">
        <f aca="true" t="shared" si="90" ref="AB51:BG51">+AB18</f>
        <v>1886451170.115259</v>
      </c>
      <c r="AC51" s="113">
        <f t="shared" si="90"/>
        <v>738690820.5433279</v>
      </c>
      <c r="AD51" s="113">
        <f t="shared" si="90"/>
        <v>290358675.41999996</v>
      </c>
      <c r="AE51" s="113">
        <f t="shared" si="90"/>
        <v>1029049495.9633279</v>
      </c>
      <c r="AF51" s="113">
        <f t="shared" si="90"/>
        <v>549724172.4729681</v>
      </c>
      <c r="AG51" s="113">
        <f t="shared" si="90"/>
        <v>255024137.48</v>
      </c>
      <c r="AH51" s="113">
        <f t="shared" si="90"/>
        <v>804748309.9529682</v>
      </c>
      <c r="AI51" s="113">
        <f t="shared" si="90"/>
        <v>565728507.33</v>
      </c>
      <c r="AJ51" s="113">
        <f t="shared" si="90"/>
        <v>230049512.87</v>
      </c>
      <c r="AK51" s="113">
        <f t="shared" si="90"/>
        <v>795778020.2</v>
      </c>
      <c r="AL51" s="113">
        <f t="shared" si="90"/>
        <v>590040458.5200001</v>
      </c>
      <c r="AM51" s="113">
        <f t="shared" si="90"/>
        <v>204837080.01000002</v>
      </c>
      <c r="AN51" s="113">
        <f t="shared" si="90"/>
        <v>794877538.5300001</v>
      </c>
      <c r="AO51" s="113">
        <f t="shared" si="90"/>
        <v>616063333.0699999</v>
      </c>
      <c r="AP51" s="113">
        <f t="shared" si="90"/>
        <v>176961076.72</v>
      </c>
      <c r="AQ51" s="113">
        <f t="shared" si="90"/>
        <v>793024409.79</v>
      </c>
      <c r="AR51" s="113">
        <f t="shared" si="90"/>
        <v>643934067.4</v>
      </c>
      <c r="AS51" s="113">
        <f t="shared" si="90"/>
        <v>148397382.62</v>
      </c>
      <c r="AT51" s="113">
        <f t="shared" si="90"/>
        <v>792331450.0200001</v>
      </c>
      <c r="AU51" s="113">
        <f t="shared" si="90"/>
        <v>673689416.0899999</v>
      </c>
      <c r="AV51" s="113">
        <f t="shared" si="90"/>
        <v>118340447.46</v>
      </c>
      <c r="AW51" s="113">
        <f t="shared" si="90"/>
        <v>792029863.55</v>
      </c>
      <c r="AX51" s="113">
        <f t="shared" si="90"/>
        <v>576143566.41</v>
      </c>
      <c r="AY51" s="113">
        <f t="shared" si="90"/>
        <v>86790790.19</v>
      </c>
      <c r="AZ51" s="113">
        <f t="shared" si="90"/>
        <v>662934356.5999999</v>
      </c>
      <c r="BA51" s="113">
        <f t="shared" si="90"/>
        <v>606090843.6700001</v>
      </c>
      <c r="BB51" s="113">
        <f t="shared" si="90"/>
        <v>66665735.7</v>
      </c>
      <c r="BC51" s="113">
        <f t="shared" si="90"/>
        <v>672756579.3700001</v>
      </c>
      <c r="BD51" s="113">
        <f t="shared" si="90"/>
        <v>638417646.2099999</v>
      </c>
      <c r="BE51" s="113">
        <f t="shared" si="90"/>
        <v>45799463.260000005</v>
      </c>
      <c r="BF51" s="113">
        <f t="shared" si="90"/>
        <v>684217109.4699999</v>
      </c>
      <c r="BG51" s="113">
        <f t="shared" si="90"/>
        <v>673326339.3399999</v>
      </c>
      <c r="BH51" s="113">
        <f aca="true" t="shared" si="91" ref="BH51:CJ51">+BH18</f>
        <v>23950135.65</v>
      </c>
      <c r="BI51" s="113">
        <f t="shared" si="91"/>
        <v>697276474.9899999</v>
      </c>
      <c r="BJ51" s="113">
        <f t="shared" si="91"/>
        <v>384920805.26</v>
      </c>
      <c r="BK51" s="113">
        <f t="shared" si="91"/>
        <v>3592425.54</v>
      </c>
      <c r="BL51" s="113">
        <f t="shared" si="91"/>
        <v>388513230.8</v>
      </c>
      <c r="BM51" s="113">
        <f t="shared" si="91"/>
        <v>0</v>
      </c>
      <c r="BN51" s="113">
        <f t="shared" si="91"/>
        <v>0</v>
      </c>
      <c r="BO51" s="113">
        <f t="shared" si="91"/>
        <v>0</v>
      </c>
      <c r="BP51" s="113">
        <f t="shared" si="91"/>
        <v>0</v>
      </c>
      <c r="BQ51" s="113">
        <f t="shared" si="91"/>
        <v>0</v>
      </c>
      <c r="BR51" s="113">
        <f t="shared" si="91"/>
        <v>0</v>
      </c>
      <c r="BS51" s="113">
        <f t="shared" si="91"/>
        <v>0</v>
      </c>
      <c r="BT51" s="113">
        <f t="shared" si="91"/>
        <v>0</v>
      </c>
      <c r="BU51" s="113">
        <f t="shared" si="91"/>
        <v>0</v>
      </c>
      <c r="BV51" s="113">
        <f t="shared" si="91"/>
        <v>0</v>
      </c>
      <c r="BW51" s="113">
        <f t="shared" si="91"/>
        <v>0</v>
      </c>
      <c r="BX51" s="113">
        <f t="shared" si="91"/>
        <v>0</v>
      </c>
      <c r="BY51" s="113">
        <f t="shared" si="91"/>
        <v>0</v>
      </c>
      <c r="BZ51" s="113">
        <f t="shared" si="91"/>
        <v>0</v>
      </c>
      <c r="CA51" s="113">
        <f t="shared" si="91"/>
        <v>0</v>
      </c>
      <c r="CB51" s="113">
        <f t="shared" si="91"/>
        <v>0</v>
      </c>
      <c r="CC51" s="113">
        <f t="shared" si="91"/>
        <v>0</v>
      </c>
      <c r="CD51" s="113">
        <f t="shared" si="91"/>
        <v>0</v>
      </c>
      <c r="CE51" s="113">
        <f t="shared" si="91"/>
        <v>0</v>
      </c>
      <c r="CF51" s="113">
        <f t="shared" si="91"/>
        <v>0</v>
      </c>
      <c r="CG51" s="113">
        <f t="shared" si="91"/>
        <v>0</v>
      </c>
      <c r="CH51" s="113">
        <f t="shared" si="91"/>
        <v>0</v>
      </c>
      <c r="CI51" s="113">
        <f t="shared" si="91"/>
        <v>0</v>
      </c>
      <c r="CJ51" s="113">
        <f t="shared" si="91"/>
        <v>0</v>
      </c>
      <c r="CK51" s="89"/>
      <c r="CL51" s="89"/>
      <c r="CM51" s="89"/>
      <c r="CO51" s="39"/>
    </row>
    <row r="52" spans="1:93" ht="15" hidden="1">
      <c r="A52" s="112" t="s">
        <v>133</v>
      </c>
      <c r="B52" s="113">
        <f aca="true" t="shared" si="92" ref="B52:AA52">+B33</f>
        <v>175082768.99448878</v>
      </c>
      <c r="C52" s="113">
        <f t="shared" si="92"/>
        <v>739685966.0515921</v>
      </c>
      <c r="D52" s="113">
        <f t="shared" si="92"/>
        <v>914768735.0460811</v>
      </c>
      <c r="E52" s="113">
        <f t="shared" si="92"/>
        <v>305293044.7616587</v>
      </c>
      <c r="F52" s="113">
        <f t="shared" si="92"/>
        <v>714788954.4748772</v>
      </c>
      <c r="G52" s="113">
        <f t="shared" si="92"/>
        <v>1020081999.2365359</v>
      </c>
      <c r="H52" s="113">
        <f t="shared" si="92"/>
        <v>503516954.85240996</v>
      </c>
      <c r="I52" s="113">
        <f t="shared" si="92"/>
        <v>661016495.3996463</v>
      </c>
      <c r="J52" s="113">
        <f t="shared" si="92"/>
        <v>1164533450.2520561</v>
      </c>
      <c r="K52" s="113">
        <f t="shared" si="92"/>
        <v>695681334.9839873</v>
      </c>
      <c r="L52" s="113">
        <f t="shared" si="92"/>
        <v>608654641.4346236</v>
      </c>
      <c r="M52" s="113">
        <f t="shared" si="92"/>
        <v>1304335976.4186108</v>
      </c>
      <c r="N52" s="113">
        <f t="shared" si="92"/>
        <v>704792574.954</v>
      </c>
      <c r="O52" s="113">
        <f t="shared" si="92"/>
        <v>553267032.9587481</v>
      </c>
      <c r="P52" s="113">
        <f t="shared" si="92"/>
        <v>1258059607.912748</v>
      </c>
      <c r="Q52" s="113">
        <f t="shared" si="92"/>
        <v>713294587.402</v>
      </c>
      <c r="R52" s="113">
        <f t="shared" si="92"/>
        <v>511640353.4188726</v>
      </c>
      <c r="S52" s="113">
        <f t="shared" si="92"/>
        <v>1224934940.8208725</v>
      </c>
      <c r="T52" s="113">
        <f t="shared" si="92"/>
        <v>1212704761.73592</v>
      </c>
      <c r="U52" s="113">
        <f t="shared" si="92"/>
        <v>462010527.03099716</v>
      </c>
      <c r="V52" s="113">
        <f t="shared" si="92"/>
        <v>1674715288.7669172</v>
      </c>
      <c r="W52" s="113">
        <f t="shared" si="92"/>
        <v>1033774949.55</v>
      </c>
      <c r="X52" s="113">
        <f t="shared" si="92"/>
        <v>391067216.79512167</v>
      </c>
      <c r="Y52" s="113">
        <f t="shared" si="92"/>
        <v>1424842166.3451216</v>
      </c>
      <c r="Z52" s="113">
        <f t="shared" si="92"/>
        <v>944392802.9399998</v>
      </c>
      <c r="AA52" s="113">
        <f t="shared" si="92"/>
        <v>330145180.1702461</v>
      </c>
      <c r="AB52" s="113">
        <f aca="true" t="shared" si="93" ref="AB52:BG52">+AB33</f>
        <v>1274537983.110246</v>
      </c>
      <c r="AC52" s="113">
        <f t="shared" si="93"/>
        <v>856294532.7269999</v>
      </c>
      <c r="AD52" s="113">
        <f t="shared" si="93"/>
        <v>274671240.26914465</v>
      </c>
      <c r="AE52" s="113">
        <f t="shared" si="93"/>
        <v>1130965772.9961445</v>
      </c>
      <c r="AF52" s="113">
        <f t="shared" si="93"/>
        <v>769927189.407</v>
      </c>
      <c r="AG52" s="113">
        <f t="shared" si="93"/>
        <v>224945976.8084529</v>
      </c>
      <c r="AH52" s="113">
        <f t="shared" si="93"/>
        <v>994873166.2154529</v>
      </c>
      <c r="AI52" s="113">
        <f t="shared" si="93"/>
        <v>724354664.6399999</v>
      </c>
      <c r="AJ52" s="113">
        <f t="shared" si="93"/>
        <v>180036550.55030254</v>
      </c>
      <c r="AK52" s="113">
        <f t="shared" si="93"/>
        <v>904391215.1903024</v>
      </c>
      <c r="AL52" s="113">
        <f t="shared" si="93"/>
        <v>683275903.6379999</v>
      </c>
      <c r="AM52" s="113">
        <f t="shared" si="93"/>
        <v>137443085.5584143</v>
      </c>
      <c r="AN52" s="113">
        <f t="shared" si="93"/>
        <v>820718989.1964142</v>
      </c>
      <c r="AO52" s="113">
        <f t="shared" si="93"/>
        <v>594832144.9919999</v>
      </c>
      <c r="AP52" s="113">
        <f t="shared" si="93"/>
        <v>99006926.43836956</v>
      </c>
      <c r="AQ52" s="113">
        <f t="shared" si="93"/>
        <v>693839071.4303694</v>
      </c>
      <c r="AR52" s="113">
        <f t="shared" si="93"/>
        <v>472012375.11</v>
      </c>
      <c r="AS52" s="113">
        <f t="shared" si="93"/>
        <v>65851566.58254456</v>
      </c>
      <c r="AT52" s="113">
        <f t="shared" si="93"/>
        <v>537863941.6925446</v>
      </c>
      <c r="AU52" s="113">
        <f t="shared" si="93"/>
        <v>420429263.244</v>
      </c>
      <c r="AV52" s="113">
        <f t="shared" si="93"/>
        <v>36614526.730257</v>
      </c>
      <c r="AW52" s="113">
        <f t="shared" si="93"/>
        <v>457043789.974257</v>
      </c>
      <c r="AX52" s="113">
        <f t="shared" si="93"/>
        <v>196968750.71699998</v>
      </c>
      <c r="AY52" s="113">
        <f t="shared" si="93"/>
        <v>15028825.094999999</v>
      </c>
      <c r="AZ52" s="113">
        <f t="shared" si="93"/>
        <v>211997575.81199998</v>
      </c>
      <c r="BA52" s="113">
        <f t="shared" si="93"/>
        <v>96253937.86500086</v>
      </c>
      <c r="BB52" s="113">
        <f t="shared" si="93"/>
        <v>4460676.75</v>
      </c>
      <c r="BC52" s="113">
        <f t="shared" si="93"/>
        <v>100714614.61500086</v>
      </c>
      <c r="BD52" s="113">
        <f t="shared" si="93"/>
        <v>0</v>
      </c>
      <c r="BE52" s="113">
        <f t="shared" si="93"/>
        <v>0</v>
      </c>
      <c r="BF52" s="113">
        <f t="shared" si="93"/>
        <v>0</v>
      </c>
      <c r="BG52" s="113">
        <f t="shared" si="93"/>
        <v>0</v>
      </c>
      <c r="BH52" s="113">
        <f aca="true" t="shared" si="94" ref="BH52:CJ52">+BH33</f>
        <v>0</v>
      </c>
      <c r="BI52" s="113">
        <f t="shared" si="94"/>
        <v>0</v>
      </c>
      <c r="BJ52" s="113">
        <f t="shared" si="94"/>
        <v>0</v>
      </c>
      <c r="BK52" s="113">
        <f t="shared" si="94"/>
        <v>0</v>
      </c>
      <c r="BL52" s="113">
        <f t="shared" si="94"/>
        <v>0</v>
      </c>
      <c r="BM52" s="113">
        <f t="shared" si="94"/>
        <v>0</v>
      </c>
      <c r="BN52" s="113">
        <f t="shared" si="94"/>
        <v>0</v>
      </c>
      <c r="BO52" s="113">
        <f t="shared" si="94"/>
        <v>0</v>
      </c>
      <c r="BP52" s="113">
        <f t="shared" si="94"/>
        <v>0</v>
      </c>
      <c r="BQ52" s="113">
        <f t="shared" si="94"/>
        <v>0</v>
      </c>
      <c r="BR52" s="113">
        <f t="shared" si="94"/>
        <v>0</v>
      </c>
      <c r="BS52" s="113">
        <f t="shared" si="94"/>
        <v>0</v>
      </c>
      <c r="BT52" s="113">
        <f t="shared" si="94"/>
        <v>0</v>
      </c>
      <c r="BU52" s="113">
        <f t="shared" si="94"/>
        <v>0</v>
      </c>
      <c r="BV52" s="113">
        <f t="shared" si="94"/>
        <v>0</v>
      </c>
      <c r="BW52" s="113">
        <f t="shared" si="94"/>
        <v>0</v>
      </c>
      <c r="BX52" s="113">
        <f t="shared" si="94"/>
        <v>0</v>
      </c>
      <c r="BY52" s="113">
        <f t="shared" si="94"/>
        <v>0</v>
      </c>
      <c r="BZ52" s="113">
        <f t="shared" si="94"/>
        <v>0</v>
      </c>
      <c r="CA52" s="113">
        <f t="shared" si="94"/>
        <v>0</v>
      </c>
      <c r="CB52" s="113">
        <f t="shared" si="94"/>
        <v>0</v>
      </c>
      <c r="CC52" s="113">
        <f t="shared" si="94"/>
        <v>0</v>
      </c>
      <c r="CD52" s="113">
        <f t="shared" si="94"/>
        <v>0</v>
      </c>
      <c r="CE52" s="113">
        <f t="shared" si="94"/>
        <v>0</v>
      </c>
      <c r="CF52" s="113">
        <f t="shared" si="94"/>
        <v>0</v>
      </c>
      <c r="CG52" s="113">
        <f t="shared" si="94"/>
        <v>0</v>
      </c>
      <c r="CH52" s="113">
        <f t="shared" si="94"/>
        <v>0</v>
      </c>
      <c r="CI52" s="113">
        <f t="shared" si="94"/>
        <v>0</v>
      </c>
      <c r="CJ52" s="113">
        <f t="shared" si="94"/>
        <v>0</v>
      </c>
      <c r="CK52" s="89"/>
      <c r="CL52" s="89"/>
      <c r="CM52" s="89"/>
      <c r="CO52" s="39"/>
    </row>
    <row r="53" spans="1:93" ht="15" hidden="1">
      <c r="A53" s="112" t="s">
        <v>8</v>
      </c>
      <c r="B53" s="113">
        <f aca="true" t="shared" si="95" ref="B53:BG53">+B50+B51+B52</f>
        <v>1963648169.7479637</v>
      </c>
      <c r="C53" s="113">
        <f t="shared" si="95"/>
        <v>8067501113.51306</v>
      </c>
      <c r="D53" s="113">
        <f t="shared" si="95"/>
        <v>10031149283.261024</v>
      </c>
      <c r="E53" s="113">
        <f t="shared" si="95"/>
        <v>2747874645.0410614</v>
      </c>
      <c r="F53" s="113">
        <f t="shared" si="95"/>
        <v>8872743490.2421</v>
      </c>
      <c r="G53" s="113">
        <f t="shared" si="95"/>
        <v>11620618135.283161</v>
      </c>
      <c r="H53" s="113">
        <f t="shared" si="95"/>
        <v>4322935096.338784</v>
      </c>
      <c r="I53" s="113">
        <f t="shared" si="95"/>
        <v>8956129129.770971</v>
      </c>
      <c r="J53" s="113">
        <f t="shared" si="95"/>
        <v>13279064226.109755</v>
      </c>
      <c r="K53" s="113">
        <f t="shared" si="95"/>
        <v>5915083342.626831</v>
      </c>
      <c r="L53" s="113">
        <f t="shared" si="95"/>
        <v>8933694779.885601</v>
      </c>
      <c r="M53" s="113">
        <f t="shared" si="95"/>
        <v>14848778122.512434</v>
      </c>
      <c r="N53" s="113">
        <f t="shared" si="95"/>
        <v>7520693749.391327</v>
      </c>
      <c r="O53" s="113">
        <f t="shared" si="95"/>
        <v>8905953359.862778</v>
      </c>
      <c r="P53" s="113">
        <f t="shared" si="95"/>
        <v>16426647109.254105</v>
      </c>
      <c r="Q53" s="113">
        <f t="shared" si="95"/>
        <v>8003983619.115597</v>
      </c>
      <c r="R53" s="113">
        <f t="shared" si="95"/>
        <v>8820722059.786097</v>
      </c>
      <c r="S53" s="113">
        <f t="shared" si="95"/>
        <v>16824705678.901695</v>
      </c>
      <c r="T53" s="113">
        <f t="shared" si="95"/>
        <v>9015237568.046104</v>
      </c>
      <c r="U53" s="113">
        <f t="shared" si="95"/>
        <v>8720933693.747839</v>
      </c>
      <c r="V53" s="113">
        <f t="shared" si="95"/>
        <v>17736171261.793945</v>
      </c>
      <c r="W53" s="113">
        <f t="shared" si="95"/>
        <v>9288876923.612753</v>
      </c>
      <c r="X53" s="113">
        <f t="shared" si="95"/>
        <v>8704529162.965122</v>
      </c>
      <c r="Y53" s="113">
        <f t="shared" si="95"/>
        <v>17993406086.577877</v>
      </c>
      <c r="Z53" s="113">
        <f t="shared" si="95"/>
        <v>9476833474.78526</v>
      </c>
      <c r="AA53" s="113">
        <f t="shared" si="95"/>
        <v>8583962641.010247</v>
      </c>
      <c r="AB53" s="113">
        <f t="shared" si="95"/>
        <v>18060796115.795506</v>
      </c>
      <c r="AC53" s="113">
        <f t="shared" si="95"/>
        <v>9245886817.880327</v>
      </c>
      <c r="AD53" s="113">
        <f t="shared" si="95"/>
        <v>8466319947.029145</v>
      </c>
      <c r="AE53" s="113">
        <f t="shared" si="95"/>
        <v>17712206764.909473</v>
      </c>
      <c r="AF53" s="113">
        <f t="shared" si="95"/>
        <v>9634797652.769968</v>
      </c>
      <c r="AG53" s="113">
        <f t="shared" si="95"/>
        <v>8397665283.158451</v>
      </c>
      <c r="AH53" s="113">
        <f t="shared" si="95"/>
        <v>18032462935.92842</v>
      </c>
      <c r="AI53" s="113">
        <f t="shared" si="95"/>
        <v>10326966530.42</v>
      </c>
      <c r="AJ53" s="113">
        <f t="shared" si="95"/>
        <v>8316484430.570302</v>
      </c>
      <c r="AK53" s="113">
        <f t="shared" si="95"/>
        <v>18643450960.990303</v>
      </c>
      <c r="AL53" s="113">
        <f t="shared" si="95"/>
        <v>11076426695.198002</v>
      </c>
      <c r="AM53" s="113">
        <f t="shared" si="95"/>
        <v>8211138387.968414</v>
      </c>
      <c r="AN53" s="113">
        <f t="shared" si="95"/>
        <v>19287565083.166412</v>
      </c>
      <c r="AO53" s="113">
        <f t="shared" si="95"/>
        <v>11795886244.812</v>
      </c>
      <c r="AP53" s="113">
        <f t="shared" si="95"/>
        <v>7998281026.26837</v>
      </c>
      <c r="AQ53" s="113">
        <f t="shared" si="95"/>
        <v>19794167271.08037</v>
      </c>
      <c r="AR53" s="113">
        <f t="shared" si="95"/>
        <v>12515677260.67</v>
      </c>
      <c r="AS53" s="113">
        <f t="shared" si="95"/>
        <v>7751305932.712544</v>
      </c>
      <c r="AT53" s="113">
        <f t="shared" si="95"/>
        <v>20266983193.38254</v>
      </c>
      <c r="AU53" s="113">
        <f t="shared" si="95"/>
        <v>13371096826.093998</v>
      </c>
      <c r="AV53" s="113">
        <f t="shared" si="95"/>
        <v>7465894509.800256</v>
      </c>
      <c r="AW53" s="113">
        <f t="shared" si="95"/>
        <v>20836991335.894257</v>
      </c>
      <c r="AX53" s="113">
        <f t="shared" si="95"/>
        <v>13985093524.447</v>
      </c>
      <c r="AY53" s="113">
        <f t="shared" si="95"/>
        <v>7151950239.724999</v>
      </c>
      <c r="AZ53" s="113">
        <f t="shared" si="95"/>
        <v>21137043764.172</v>
      </c>
      <c r="BA53" s="113">
        <f t="shared" si="95"/>
        <v>14941536938.195002</v>
      </c>
      <c r="BB53" s="113">
        <f t="shared" si="95"/>
        <v>6791115484.419999</v>
      </c>
      <c r="BC53" s="113">
        <f t="shared" si="95"/>
        <v>21732652422.614998</v>
      </c>
      <c r="BD53" s="113">
        <f t="shared" si="95"/>
        <v>15972657568.109999</v>
      </c>
      <c r="BE53" s="113">
        <f t="shared" si="95"/>
        <v>6391414709.059999</v>
      </c>
      <c r="BF53" s="113">
        <f t="shared" si="95"/>
        <v>22364072277.17</v>
      </c>
      <c r="BG53" s="113">
        <f t="shared" si="95"/>
        <v>17186593724.77</v>
      </c>
      <c r="BH53" s="113">
        <f aca="true" t="shared" si="96" ref="BH53:CJ53">+BH50+BH51+BH52</f>
        <v>5935993684.549999</v>
      </c>
      <c r="BI53" s="113">
        <f t="shared" si="96"/>
        <v>23122587409.320004</v>
      </c>
      <c r="BJ53" s="113">
        <f t="shared" si="96"/>
        <v>18159849237.25</v>
      </c>
      <c r="BK53" s="113">
        <f t="shared" si="96"/>
        <v>5425837875.49</v>
      </c>
      <c r="BL53" s="113">
        <f t="shared" si="96"/>
        <v>23585687112.74</v>
      </c>
      <c r="BM53" s="113">
        <f t="shared" si="96"/>
        <v>19150396361.85</v>
      </c>
      <c r="BN53" s="113">
        <f t="shared" si="96"/>
        <v>4844247791.82</v>
      </c>
      <c r="BO53" s="113">
        <f t="shared" si="96"/>
        <v>23994644153.67</v>
      </c>
      <c r="BP53" s="113">
        <f t="shared" si="96"/>
        <v>20622035716.59</v>
      </c>
      <c r="BQ53" s="113">
        <f t="shared" si="96"/>
        <v>4196703109.83</v>
      </c>
      <c r="BR53" s="113">
        <f t="shared" si="96"/>
        <v>24818738826.42</v>
      </c>
      <c r="BS53" s="113">
        <f t="shared" si="96"/>
        <v>22206498097.39</v>
      </c>
      <c r="BT53" s="113">
        <f t="shared" si="96"/>
        <v>3465634776.73</v>
      </c>
      <c r="BU53" s="113">
        <f t="shared" si="96"/>
        <v>25672132874.120003</v>
      </c>
      <c r="BV53" s="113">
        <f t="shared" si="96"/>
        <v>23907753525.550003</v>
      </c>
      <c r="BW53" s="113">
        <f t="shared" si="96"/>
        <v>2648006259.91</v>
      </c>
      <c r="BX53" s="113">
        <f t="shared" si="96"/>
        <v>26555759785.46</v>
      </c>
      <c r="BY53" s="113">
        <f t="shared" si="96"/>
        <v>23232902538.92</v>
      </c>
      <c r="BZ53" s="113">
        <f t="shared" si="96"/>
        <v>1721900451.7999997</v>
      </c>
      <c r="CA53" s="113">
        <f t="shared" si="96"/>
        <v>24954802990.72</v>
      </c>
      <c r="CB53" s="113">
        <f t="shared" si="96"/>
        <v>11957955891.710001</v>
      </c>
      <c r="CC53" s="113">
        <f t="shared" si="96"/>
        <v>1073656762.63</v>
      </c>
      <c r="CD53" s="113">
        <f t="shared" si="96"/>
        <v>13031612654.34</v>
      </c>
      <c r="CE53" s="113">
        <f t="shared" si="96"/>
        <v>12884565372.099998</v>
      </c>
      <c r="CF53" s="113">
        <f t="shared" si="96"/>
        <v>599010212.79</v>
      </c>
      <c r="CG53" s="113">
        <f t="shared" si="96"/>
        <v>13483575584.89</v>
      </c>
      <c r="CH53" s="113">
        <f t="shared" si="96"/>
        <v>7972115281.860001</v>
      </c>
      <c r="CI53" s="113">
        <f t="shared" si="96"/>
        <v>108648242.30000001</v>
      </c>
      <c r="CJ53" s="113">
        <f t="shared" si="96"/>
        <v>8080763524.160001</v>
      </c>
      <c r="CK53" s="89"/>
      <c r="CL53" s="89"/>
      <c r="CM53" s="89"/>
      <c r="CO53" s="39"/>
    </row>
    <row r="54" spans="1:93" ht="15" hidden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10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O54" s="39"/>
    </row>
    <row r="55" spans="1:91" ht="13.5" customHeight="1" hidden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113"/>
      <c r="AA55" s="113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</row>
    <row r="56" spans="1:92" s="110" customFormat="1" ht="15" hidden="1">
      <c r="A56" s="114"/>
      <c r="B56" s="114"/>
      <c r="C56" s="114"/>
      <c r="D56" s="114">
        <f>D10-'[10]intra'!$AO$86</f>
        <v>1833527833.571025</v>
      </c>
      <c r="E56" s="114"/>
      <c r="F56" s="114"/>
      <c r="G56" s="114">
        <f>G10-'[10]intra'!$AO$99</f>
        <v>3581609816.4531612</v>
      </c>
      <c r="H56" s="115"/>
      <c r="I56" s="116"/>
      <c r="J56" s="114">
        <f>J10-'[10]intra'!$AO$112</f>
        <v>5342264843.039755</v>
      </c>
      <c r="K56" s="115"/>
      <c r="L56" s="116"/>
      <c r="M56" s="114"/>
      <c r="N56" s="115"/>
      <c r="O56" s="116"/>
      <c r="P56" s="114">
        <f>P10-'[10]intra'!$AO$138</f>
        <v>8724050921.224104</v>
      </c>
      <c r="Q56" s="115"/>
      <c r="R56" s="116"/>
      <c r="S56" s="114">
        <f>S10-'[10]intra'!$AO$151</f>
        <v>9207002053.391693</v>
      </c>
      <c r="T56" s="114"/>
      <c r="U56" s="114"/>
      <c r="V56" s="114">
        <f>V10-'[10]intra'!$AO$164</f>
        <v>10214964202.983946</v>
      </c>
      <c r="W56" s="114"/>
      <c r="X56" s="114"/>
      <c r="Y56" s="114">
        <f>Y10-'[10]intra'!$AO$177</f>
        <v>11514695596.507874</v>
      </c>
      <c r="Z56" s="114"/>
      <c r="AA56" s="114"/>
      <c r="AB56" s="114">
        <f>AB10-'[10]intra'!$AO$190</f>
        <v>12475515936.145506</v>
      </c>
      <c r="AC56" s="114"/>
      <c r="AD56" s="114"/>
      <c r="AE56" s="114">
        <f>AE10-'[10]intra'!$AO$203</f>
        <v>11834884435.609474</v>
      </c>
      <c r="AF56" s="114"/>
      <c r="AG56" s="114"/>
      <c r="AH56" s="114">
        <f>AH10-'[10]intra'!$AO$216</f>
        <v>12358854430.71842</v>
      </c>
      <c r="AI56" s="114"/>
      <c r="AJ56" s="114"/>
      <c r="AK56" s="114">
        <f>AK10-'[10]intra'!$AO$229</f>
        <v>13341758195.470303</v>
      </c>
      <c r="AL56" s="114"/>
      <c r="AM56" s="114"/>
      <c r="AN56" s="114">
        <f>AN10-'[10]intra'!$AO$242</f>
        <v>14668016775.51641</v>
      </c>
      <c r="AO56" s="114"/>
      <c r="AP56" s="114"/>
      <c r="AQ56" s="114">
        <f>AQ10-'[10]intra'!$AO$255</f>
        <v>15454469693.150368</v>
      </c>
      <c r="AR56" s="114"/>
      <c r="AS56" s="114"/>
      <c r="AT56" s="114">
        <f>AT10-'[10]intra'!$AO$268</f>
        <v>16046881501.802542</v>
      </c>
      <c r="AU56" s="114"/>
      <c r="AV56" s="114"/>
      <c r="AW56" s="114">
        <f>AW10-'[10]intra'!$AO$281</f>
        <v>16690692585.614256</v>
      </c>
      <c r="AX56" s="114"/>
      <c r="AY56" s="114"/>
      <c r="AZ56" s="114">
        <f>AZ10-'[10]intra'!$AO$294</f>
        <v>17122656782.312</v>
      </c>
      <c r="BA56" s="114"/>
      <c r="BB56" s="114"/>
      <c r="BC56" s="114">
        <f>BC10-'[10]intra'!$AO$307</f>
        <v>17817753400.234997</v>
      </c>
      <c r="BD56" s="114"/>
      <c r="BE56" s="114"/>
      <c r="BF56" s="114">
        <f>BF10-'[10]intra'!$AO$320</f>
        <v>18515374814.26</v>
      </c>
      <c r="BG56" s="114"/>
      <c r="BH56" s="114"/>
      <c r="BI56" s="114">
        <f>BI10-'[10]intra'!$AO$333</f>
        <v>19476859780.840004</v>
      </c>
      <c r="BJ56" s="114"/>
      <c r="BK56" s="114"/>
      <c r="BL56" s="114">
        <f>BL10-'[10]intra'!$AO$346</f>
        <v>20020426513.940002</v>
      </c>
      <c r="BM56" s="114"/>
      <c r="BN56" s="114"/>
      <c r="BO56" s="114">
        <f>BO10-'[10]intra'!$AO$359</f>
        <v>20525100340.96</v>
      </c>
      <c r="BP56" s="114"/>
      <c r="BQ56" s="114"/>
      <c r="BR56" s="114">
        <f>BR10-'[10]intra'!$AO$372</f>
        <v>21487331694.039997</v>
      </c>
      <c r="BS56" s="114"/>
      <c r="BT56" s="114"/>
      <c r="BU56" s="114">
        <f>BU10-'[10]intra'!$AO$385</f>
        <v>22471376391.630005</v>
      </c>
      <c r="BV56" s="114"/>
      <c r="BW56" s="114"/>
      <c r="BX56" s="114">
        <f>BX10-'[10]intra'!$AO$398</f>
        <v>23354973782.39</v>
      </c>
      <c r="BY56" s="114"/>
      <c r="BZ56" s="114"/>
      <c r="CA56" s="114">
        <f>CA10-'[10]intra'!$AO$411</f>
        <v>21754016987.68</v>
      </c>
      <c r="CB56" s="114"/>
      <c r="CC56" s="114"/>
      <c r="CD56" s="114">
        <f>CD10-'[10]intra'!$AO$424</f>
        <v>9830826651.28</v>
      </c>
      <c r="CE56" s="114"/>
      <c r="CF56" s="114"/>
      <c r="CG56" s="114">
        <f>CG10-'[10]intra'!$AO$437</f>
        <v>10282819102.4</v>
      </c>
      <c r="CH56" s="114"/>
      <c r="CI56" s="114"/>
      <c r="CJ56" s="114">
        <f>CJ10-'[10]intra'!$AO$450</f>
        <v>5413436638.160001</v>
      </c>
      <c r="CK56" s="114"/>
      <c r="CL56" s="114"/>
      <c r="CM56" s="114"/>
      <c r="CN56" s="125"/>
    </row>
    <row r="57" spans="1:91" ht="15" hidden="1">
      <c r="A57" s="3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</row>
    <row r="58" spans="1:91" ht="15">
      <c r="A58" s="39"/>
      <c r="B58" s="89"/>
      <c r="C58" s="89"/>
      <c r="D58" s="89"/>
      <c r="E58" s="89"/>
      <c r="F58" s="113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</row>
    <row r="59" spans="2:91" ht="15" hidden="1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</row>
    <row r="60" spans="1:91" ht="15" hidden="1">
      <c r="A60" s="112" t="s">
        <v>131</v>
      </c>
      <c r="B60" s="117">
        <f>+'[11]intra'!$AH$86</f>
        <v>2087565783.2800002</v>
      </c>
      <c r="C60" s="117">
        <f>+'[11]intra'!$AI$86</f>
        <v>2733833775.6400003</v>
      </c>
      <c r="D60" s="117">
        <f>+'[11]intra'!$AJ$86</f>
        <v>4821399558.92</v>
      </c>
      <c r="E60" s="117">
        <f>+'[11]intra'!$AH$99</f>
        <v>2194618004.65</v>
      </c>
      <c r="F60" s="117">
        <f>+'[11]intra'!$AI$99</f>
        <v>2626776369.91</v>
      </c>
      <c r="G60" s="117">
        <f>+'[11]intra'!$AJ$99</f>
        <v>4821394374.56</v>
      </c>
      <c r="H60" s="117">
        <f>+'[11]intra'!$AH$112</f>
        <v>2305628900.2799997</v>
      </c>
      <c r="I60" s="117">
        <f>+'[11]intra'!$AI$112</f>
        <v>2514010081.68</v>
      </c>
      <c r="J60" s="117">
        <f>+'[11]intra'!$AJ$112</f>
        <v>4819638981.96</v>
      </c>
      <c r="K60" s="117">
        <f>+'[11]intra'!$AH$125</f>
        <v>2484501020.4800005</v>
      </c>
      <c r="L60" s="117">
        <f>+'[11]intra'!$AI$125</f>
        <v>2393954169.73</v>
      </c>
      <c r="M60" s="117">
        <f>+'[11]intra'!$AJ$125</f>
        <v>4878455190.21</v>
      </c>
      <c r="N60" s="117">
        <f>+'[11]intra'!$AH$138</f>
        <v>2545484889.7</v>
      </c>
      <c r="O60" s="117">
        <f>+'[11]intra'!$AI$138</f>
        <v>2267629865.2599998</v>
      </c>
      <c r="P60" s="117">
        <f>+'[11]intra'!$AJ$138</f>
        <v>4813114754.959999</v>
      </c>
      <c r="Q60" s="117">
        <f>+'[11]intra'!$AH$151</f>
        <v>2677165538.76</v>
      </c>
      <c r="R60" s="117">
        <f>+'[11]intra'!$AI$151</f>
        <v>2135948437.2999997</v>
      </c>
      <c r="S60" s="117">
        <f>+'[11]intra'!$AJ$151</f>
        <v>4813113976.059999</v>
      </c>
      <c r="T60" s="117">
        <f>+'[11]intra'!$AH$164</f>
        <v>2815936415.2700005</v>
      </c>
      <c r="U60" s="117">
        <f>+'[11]intra'!$AI$164</f>
        <v>1997154410.23</v>
      </c>
      <c r="V60" s="117">
        <f>+'[11]intra'!$AJ$164</f>
        <v>4813090825.5</v>
      </c>
      <c r="W60" s="117">
        <f>+'[11]intra'!$AH$177</f>
        <v>2170573023.0499997</v>
      </c>
      <c r="X60" s="117">
        <f>+'[11]intra'!$AI$177</f>
        <v>1857505575.1299999</v>
      </c>
      <c r="Y60" s="117">
        <f>+'[11]intra'!$AJ$177</f>
        <v>4028078598.1799994</v>
      </c>
      <c r="Z60" s="117">
        <f>+'[11]intra'!$AH$190</f>
        <v>1418808494.3200002</v>
      </c>
      <c r="AA60" s="117">
        <f>+'[11]intra'!$AI$190</f>
        <v>1783083017.0800002</v>
      </c>
      <c r="AB60" s="117">
        <f>+'[11]intra'!$AJ$190</f>
        <v>3201891511.3999996</v>
      </c>
      <c r="AC60" s="117">
        <f>+'[11]intra'!$AH$203</f>
        <v>1472511400.75</v>
      </c>
      <c r="AD60" s="117">
        <f>+'[11]intra'!$AI$203</f>
        <v>1728274602.29</v>
      </c>
      <c r="AE60" s="117">
        <f>+'[11]intra'!$AJ$203</f>
        <v>3200786003.04</v>
      </c>
      <c r="AF60" s="117">
        <f>+'[11]intra'!$AH$216</f>
        <v>1531666874.78</v>
      </c>
      <c r="AG60" s="117">
        <f>+'[11]intra'!$AI$216</f>
        <v>1669119128.2300005</v>
      </c>
      <c r="AH60" s="117">
        <f>+'[11]intra'!$AJ$216</f>
        <v>3200786003.01</v>
      </c>
      <c r="AI60" s="117">
        <f>+'[11]intra'!$AH$229</f>
        <v>1594054864</v>
      </c>
      <c r="AJ60" s="117">
        <f>+'[11]intra'!$AI$229</f>
        <v>1606701618.42</v>
      </c>
      <c r="AK60" s="117">
        <f>+'[11]intra'!$AJ$229</f>
        <v>3200756482.42</v>
      </c>
      <c r="AL60" s="117">
        <f>+'[11]intra'!$AH$242</f>
        <v>1659014191.2199998</v>
      </c>
      <c r="AM60" s="117">
        <f>+'[11]intra'!$AI$242</f>
        <v>1541771811.81</v>
      </c>
      <c r="AN60" s="117">
        <f>+'[11]intra'!$AJ$242</f>
        <v>3200786003.0299997</v>
      </c>
      <c r="AO60" s="117">
        <f>+'[11]intra'!$AH$255</f>
        <v>1726604989.0800004</v>
      </c>
      <c r="AP60" s="117">
        <f>+'[11]intra'!$AI$255</f>
        <v>1474181013.94</v>
      </c>
      <c r="AQ60" s="117">
        <f>+'[11]intra'!$AJ$255</f>
        <v>3200786003.0199995</v>
      </c>
      <c r="AR60" s="117">
        <f>+'[11]intra'!$AH$268</f>
        <v>1796949540.3200002</v>
      </c>
      <c r="AS60" s="117">
        <f>+'[11]intra'!$AI$268</f>
        <v>1403836462.6799998</v>
      </c>
      <c r="AT60" s="117">
        <f>+'[11]intra'!$AJ$268</f>
        <v>3200786003</v>
      </c>
      <c r="AU60" s="117">
        <f>+'[11]intra'!$AH$281</f>
        <v>1870143046.32</v>
      </c>
      <c r="AV60" s="117">
        <f>+'[11]intra'!$AI$281</f>
        <v>1330613436.11</v>
      </c>
      <c r="AW60" s="117">
        <f>+'[11]intra'!$AJ$281</f>
        <v>3200756482.4300003</v>
      </c>
      <c r="AX60" s="117">
        <f>+'[11]intra'!$AH$294</f>
        <v>1946353242.59</v>
      </c>
      <c r="AY60" s="117">
        <f>+'[11]intra'!$AI$294</f>
        <v>1254432760.41</v>
      </c>
      <c r="AZ60" s="117">
        <f>+'[11]intra'!$AJ$294</f>
        <v>3200786003.0000005</v>
      </c>
      <c r="BA60" s="117">
        <f>+'[11]intra'!$AH$307</f>
        <v>2025650676.74</v>
      </c>
      <c r="BB60" s="117">
        <f>+'[11]intra'!$AI$307</f>
        <v>1175135326.27</v>
      </c>
      <c r="BC60" s="117">
        <f>+'[11]intra'!$AJ$307</f>
        <v>3200786003.01</v>
      </c>
      <c r="BD60" s="117">
        <f>+'[11]intra'!$AH$320</f>
        <v>2108178810.7300003</v>
      </c>
      <c r="BE60" s="117">
        <f>+'[11]intra'!$AI$320</f>
        <v>1092607192.28</v>
      </c>
      <c r="BF60" s="117">
        <f>+'[11]intra'!$AJ$320</f>
        <v>3200786003.01</v>
      </c>
      <c r="BG60" s="117">
        <f>+'[11]intra'!$AH$333</f>
        <v>2194049334.61</v>
      </c>
      <c r="BH60" s="117">
        <f>+'[11]intra'!$AI$333</f>
        <v>1006707147.8500001</v>
      </c>
      <c r="BI60" s="117">
        <f>+'[11]intra'!$AJ$333</f>
        <v>3200756482.4600005</v>
      </c>
      <c r="BJ60" s="117">
        <f>+'[11]intra'!$AH$346</f>
        <v>2283459035.4900002</v>
      </c>
      <c r="BK60" s="117">
        <f>+'[11]intra'!$AI$346</f>
        <v>917326967.5</v>
      </c>
      <c r="BL60" s="117">
        <f>+'[11]intra'!$AJ$346</f>
        <v>3200786002.9900007</v>
      </c>
      <c r="BM60" s="117">
        <f>+'[11]intra'!$AH$359</f>
        <v>2376490679.84</v>
      </c>
      <c r="BN60" s="117">
        <f>+'[11]intra'!$AI$359</f>
        <v>824295323.2299999</v>
      </c>
      <c r="BO60" s="117">
        <f>+'[11]intra'!$AJ$359</f>
        <v>3200786003.07</v>
      </c>
      <c r="BP60" s="117">
        <f>+'[11]intra'!$AH$372</f>
        <v>2473312576.88</v>
      </c>
      <c r="BQ60" s="117">
        <f>+'[11]intra'!$AI$372</f>
        <v>727473426.16</v>
      </c>
      <c r="BR60" s="117">
        <f>+'[11]intra'!$AJ$372</f>
        <v>3200786003.04</v>
      </c>
      <c r="BS60" s="117">
        <f>+'[11]intra'!$AH$385</f>
        <v>2574055761.3</v>
      </c>
      <c r="BT60" s="117">
        <f>+'[11]intra'!$AI$385</f>
        <v>626700721.1899999</v>
      </c>
      <c r="BU60" s="117">
        <f>+'[11]intra'!$AJ$385</f>
        <v>3200756482.49</v>
      </c>
      <c r="BV60" s="117">
        <f>+'[11]intra'!$AH$398</f>
        <v>2678951103.4400005</v>
      </c>
      <c r="BW60" s="117">
        <f>+'[11]intra'!$AI$398</f>
        <v>521834899.63</v>
      </c>
      <c r="BX60" s="117">
        <f>+'[11]intra'!$AJ$398</f>
        <v>3200786003.07</v>
      </c>
      <c r="BY60" s="117">
        <f>+'[11]intra'!$AH$411</f>
        <v>2788095704.81</v>
      </c>
      <c r="BZ60" s="117">
        <f>+'[11]intra'!$AI$411</f>
        <v>412690298.23</v>
      </c>
      <c r="CA60" s="117">
        <f>+'[11]intra'!$AJ$411</f>
        <v>3200786003.04</v>
      </c>
      <c r="CB60" s="117">
        <f>+'[11]intra'!$AH$424</f>
        <v>2901687025.6400003</v>
      </c>
      <c r="CC60" s="117">
        <f>+'[11]intra'!$AI$424</f>
        <v>299098977.41999996</v>
      </c>
      <c r="CD60" s="117">
        <f>+'[11]intra'!$AJ$424</f>
        <v>3200786003.0599995</v>
      </c>
      <c r="CE60" s="117">
        <f>+'[11]intra'!$AH$437</f>
        <v>3019878795.58</v>
      </c>
      <c r="CF60" s="117">
        <f>+'[11]intra'!$AI$437</f>
        <v>180877686.91000003</v>
      </c>
      <c r="CG60" s="117">
        <f>+'[11]intra'!$AJ$437</f>
        <v>3200756482.49</v>
      </c>
      <c r="CH60" s="117">
        <f>+'[11]intra'!$AH$450</f>
        <v>2610368941.94</v>
      </c>
      <c r="CI60" s="117">
        <f>+'[11]intra'!$AI$450</f>
        <v>56957944.059999995</v>
      </c>
      <c r="CJ60" s="117">
        <f>+'[11]intra'!$AJ$450</f>
        <v>2667326886</v>
      </c>
      <c r="CK60" s="89"/>
      <c r="CL60" s="89"/>
      <c r="CM60" s="89"/>
    </row>
    <row r="61" spans="1:91" ht="15" hidden="1">
      <c r="A61" s="112" t="s">
        <v>132</v>
      </c>
      <c r="B61" s="113">
        <f>+'[11]extra'!$EH$86</f>
        <v>1291315875.4099998</v>
      </c>
      <c r="C61" s="113">
        <f>+'[11]extra'!$EI$86+'[11]extra'!$EJ$86</f>
        <v>1165347603.66</v>
      </c>
      <c r="D61" s="113">
        <f>+B61+C61</f>
        <v>2456663479.0699997</v>
      </c>
      <c r="E61" s="113">
        <f>+'[11]extra'!$EH$99</f>
        <v>1217223870.45</v>
      </c>
      <c r="F61" s="113">
        <f>+'[11]extra'!$EI$99+'[11]extra'!$EJ$99</f>
        <v>1096101123.49</v>
      </c>
      <c r="G61" s="113">
        <f>+E61+F61</f>
        <v>2313324993.94</v>
      </c>
      <c r="H61" s="113">
        <f>+'[11]extra'!$EH$112</f>
        <v>1215909885.3700001</v>
      </c>
      <c r="I61" s="113">
        <f>+'[11]extra'!$EI$112+'[11]extra'!$EJ$112</f>
        <v>1027825060.6700001</v>
      </c>
      <c r="J61" s="113">
        <f>+H61+I61</f>
        <v>2243734946.04</v>
      </c>
      <c r="K61" s="113">
        <f>+'[11]extra'!$EH$125</f>
        <v>1213700233.52</v>
      </c>
      <c r="L61" s="113">
        <f>+'[11]extra'!$EI$125+'[11]extra'!$EJ$125</f>
        <v>953465203.8699999</v>
      </c>
      <c r="M61" s="113">
        <f>+K61+L61</f>
        <v>2167165437.39</v>
      </c>
      <c r="N61" s="113">
        <f>+'[11]extra'!$EH$138</f>
        <v>1166142204.92</v>
      </c>
      <c r="O61" s="113">
        <f>+'[11]extra'!$EI$138+'[11]extra'!$EJ$138</f>
        <v>843048502.43</v>
      </c>
      <c r="P61" s="113">
        <f>+N61+O61</f>
        <v>2009190707.35</v>
      </c>
      <c r="Q61" s="113">
        <f>+'[11]extra'!$EH$151</f>
        <v>1165458603.75</v>
      </c>
      <c r="R61" s="113">
        <f>+'[11]extra'!$EI$151+'[11]extra'!$EJ$151</f>
        <v>773875387.18</v>
      </c>
      <c r="S61" s="113">
        <f>+Q61+R61</f>
        <v>1939333990.9299998</v>
      </c>
      <c r="T61" s="113">
        <f>+'[11]extra'!$EH$164</f>
        <v>1154213819.1499999</v>
      </c>
      <c r="U61" s="113">
        <f>+'[11]extra'!$EI$164+'[11]extra'!$EJ$164</f>
        <v>703681822.93</v>
      </c>
      <c r="V61" s="113">
        <f>+T61+U61</f>
        <v>1857895642.08</v>
      </c>
      <c r="W61" s="113">
        <f>+'[11]extra'!$EH$177</f>
        <v>1152794754.8799999</v>
      </c>
      <c r="X61" s="113">
        <f>+'[11]extra'!$EI$177+'[11]extra'!$EJ$177</f>
        <v>636082713.22</v>
      </c>
      <c r="Y61" s="113">
        <f>+W61+X61</f>
        <v>1788877468.1</v>
      </c>
      <c r="Z61" s="113">
        <f>+'[11]extra'!$EH$190</f>
        <v>1161041720.38</v>
      </c>
      <c r="AA61" s="113">
        <f>+'[11]extra'!$EI$190+'[11]extra'!$EJ$190</f>
        <v>564854910</v>
      </c>
      <c r="AB61" s="113">
        <f>+Z61+AA61</f>
        <v>1725896630.38</v>
      </c>
      <c r="AC61" s="113">
        <f>+'[11]extra'!$EH$203</f>
        <v>1174660692.0700002</v>
      </c>
      <c r="AD61" s="113">
        <f>+'[11]extra'!$EI$203+'[11]extra'!$EJ$203</f>
        <v>494404437.27000004</v>
      </c>
      <c r="AE61" s="113">
        <f>+AC61+AD61</f>
        <v>1669065129.3400002</v>
      </c>
      <c r="AF61" s="113">
        <f>+'[11]extra'!$EH$216</f>
        <v>1183671575.7600002</v>
      </c>
      <c r="AG61" s="113">
        <f>+'[11]extra'!$EI$216+'[11]extra'!$EJ$216</f>
        <v>422825262.43</v>
      </c>
      <c r="AH61" s="113">
        <f>+AF61+AG61</f>
        <v>1606496838.1900003</v>
      </c>
      <c r="AI61" s="113">
        <f>+'[11]extra'!$EH$229</f>
        <v>989188220.7100002</v>
      </c>
      <c r="AJ61" s="113">
        <f>+'[11]extra'!$EI$229+'[11]extra'!$EJ$229</f>
        <v>322350075.59</v>
      </c>
      <c r="AK61" s="113">
        <f>+AI61+AJ61</f>
        <v>1311538296.3000002</v>
      </c>
      <c r="AL61" s="113">
        <f>+'[11]extra'!$EH$242</f>
        <v>488937306.05</v>
      </c>
      <c r="AM61" s="113">
        <f>+'[11]extra'!$EI$242+'[11]extra'!$EJ$242</f>
        <v>218708600.82000002</v>
      </c>
      <c r="AN61" s="113">
        <f>+AL61+AM61</f>
        <v>707645906.87</v>
      </c>
      <c r="AO61" s="113">
        <f>+'[11]extra'!$EH$255</f>
        <v>354132890.5</v>
      </c>
      <c r="AP61" s="113">
        <f>+'[11]extra'!$EI$255+'[11]extra'!$EJ$255</f>
        <v>167288850.64</v>
      </c>
      <c r="AQ61" s="113">
        <f>+AO61+AP61</f>
        <v>521421741.14</v>
      </c>
      <c r="AR61" s="113">
        <f>+'[11]extra'!$EH$268</f>
        <v>315805035.51</v>
      </c>
      <c r="AS61" s="113">
        <f>+'[11]extra'!$EI$268+'[11]extra'!$EJ$268</f>
        <v>144169893.24</v>
      </c>
      <c r="AT61" s="113">
        <f>+AR61+AS61</f>
        <v>459974928.75</v>
      </c>
      <c r="AU61" s="113">
        <f>+'[11]extra'!$EH$281</f>
        <v>301388942.08</v>
      </c>
      <c r="AV61" s="113">
        <f>+'[11]extra'!$EI$281+'[11]extra'!$EJ$281</f>
        <v>124535399.96</v>
      </c>
      <c r="AW61" s="113">
        <f>+AU61+AV61</f>
        <v>425924342.03999996</v>
      </c>
      <c r="AX61" s="113">
        <f>+'[11]extra'!$EH$294</f>
        <v>301388942.09000003</v>
      </c>
      <c r="AY61" s="113">
        <f>+'[11]extra'!$EI$294+'[11]extra'!$EJ$294</f>
        <v>104549140.94000001</v>
      </c>
      <c r="AZ61" s="113">
        <f>+AX61+AY61</f>
        <v>405938083.03000003</v>
      </c>
      <c r="BA61" s="113">
        <f>+'[11]extra'!$EH$307</f>
        <v>301388942.08</v>
      </c>
      <c r="BB61" s="113">
        <f>+'[11]extra'!$EI$307+'[11]extra'!$EJ$307</f>
        <v>84775868.80999999</v>
      </c>
      <c r="BC61" s="113">
        <f>+BA61+BB61</f>
        <v>386164810.89</v>
      </c>
      <c r="BD61" s="113">
        <f>+'[11]extra'!$EH$320</f>
        <v>301388942.09000003</v>
      </c>
      <c r="BE61" s="113">
        <f>+'[11]extra'!$EI$320+'[11]extra'!$EJ$320</f>
        <v>65037081.010000005</v>
      </c>
      <c r="BF61" s="113">
        <f>+BD61+BE61</f>
        <v>366426023.1</v>
      </c>
      <c r="BG61" s="113">
        <f>+'[11]extra'!$EH$333</f>
        <v>253323698.4</v>
      </c>
      <c r="BH61" s="113">
        <f>+'[11]extra'!$EI$333+'[11]extra'!$EJ$333</f>
        <v>45411663.620000005</v>
      </c>
      <c r="BI61" s="113">
        <f>+BG61+BH61</f>
        <v>298735362.02</v>
      </c>
      <c r="BJ61" s="113">
        <f>+'[11]extra'!$EH$346</f>
        <v>253323698.4</v>
      </c>
      <c r="BK61" s="113">
        <f>+'[11]extra'!$EI$346+'[11]extra'!$EJ$346</f>
        <v>30357581.240000002</v>
      </c>
      <c r="BL61" s="113">
        <f>+BJ61+BK61</f>
        <v>283681279.64</v>
      </c>
      <c r="BM61" s="113">
        <f>+'[11]extra'!$EH$359</f>
        <v>253323698.4</v>
      </c>
      <c r="BN61" s="113">
        <f>+'[11]extra'!$EI$359+'[11]extra'!$EJ$359</f>
        <v>15434111.239999996</v>
      </c>
      <c r="BO61" s="113">
        <f>+BM61+BN61</f>
        <v>268757809.64</v>
      </c>
      <c r="BP61" s="113">
        <f>+'[11]extra'!$EH$372</f>
        <v>128454887.75</v>
      </c>
      <c r="BQ61" s="113">
        <f>+'[11]extra'!$EI$372+'[11]extra'!$EJ$372</f>
        <v>2166241.59</v>
      </c>
      <c r="BR61" s="113">
        <f>+BP61+BQ61</f>
        <v>130621129.34</v>
      </c>
      <c r="BS61" s="113">
        <f>+'[11]extra'!$EH$385</f>
        <v>0</v>
      </c>
      <c r="BT61" s="113">
        <f>+'[11]extra'!$EI$385+'[11]extra'!$EJ$385</f>
        <v>0</v>
      </c>
      <c r="BU61" s="113">
        <f>+BS61+BT61</f>
        <v>0</v>
      </c>
      <c r="BV61" s="113">
        <f>+'[11]extra'!$EH$398</f>
        <v>0</v>
      </c>
      <c r="BW61" s="113">
        <f>+'[11]extra'!$EI$398+'[11]extra'!$EJ$398</f>
        <v>0</v>
      </c>
      <c r="BX61" s="113">
        <f>+BV61+BW61</f>
        <v>0</v>
      </c>
      <c r="BY61" s="113">
        <f>+'[11]extra'!$EH$411</f>
        <v>0</v>
      </c>
      <c r="BZ61" s="113">
        <f>+'[11]extra'!$EI$411+'[11]extra'!$EJ$411</f>
        <v>0</v>
      </c>
      <c r="CA61" s="113">
        <f>+BY61+BZ61</f>
        <v>0</v>
      </c>
      <c r="CB61" s="113">
        <f>+'[11]extra'!$EH$424</f>
        <v>0</v>
      </c>
      <c r="CC61" s="113">
        <f>+'[11]extra'!$EI$424+'[11]extra'!$EJ$424</f>
        <v>0</v>
      </c>
      <c r="CD61" s="113">
        <f>+CB61+CC61</f>
        <v>0</v>
      </c>
      <c r="CE61" s="113">
        <f>+'[11]extra'!$EH$437</f>
        <v>0</v>
      </c>
      <c r="CF61" s="113">
        <f>+'[11]extra'!$EI$437+'[11]extra'!$EJ$437</f>
        <v>0</v>
      </c>
      <c r="CG61" s="113">
        <f>+CE61+CF61</f>
        <v>0</v>
      </c>
      <c r="CH61" s="113">
        <f>+'[11]extra'!$EH$450</f>
        <v>0</v>
      </c>
      <c r="CI61" s="113">
        <f>+'[11]extra'!$EI$450+'[11]extra'!$EJ$450</f>
        <v>0</v>
      </c>
      <c r="CJ61" s="113">
        <f>+CH61+CI61</f>
        <v>0</v>
      </c>
      <c r="CK61" s="89"/>
      <c r="CL61" s="89"/>
      <c r="CM61" s="89"/>
    </row>
    <row r="62" spans="1:91" ht="15" hidden="1">
      <c r="A62" s="112" t="s">
        <v>133</v>
      </c>
      <c r="B62" s="113">
        <f>+'[11]externa'!$BZ$86</f>
        <v>707575642.63</v>
      </c>
      <c r="C62" s="113">
        <f>+'[11]externa'!$CA$86+'[11]externa'!$CB$86</f>
        <v>211982769.07</v>
      </c>
      <c r="D62" s="113">
        <f>+B62+C62</f>
        <v>919558411.7</v>
      </c>
      <c r="E62" s="113">
        <f>+'[11]externa'!$BZ$99</f>
        <v>702715192.6899999</v>
      </c>
      <c r="F62" s="113">
        <f>+'[11]externa'!$CA$99+'[11]externa'!$CB$99</f>
        <v>201573757.63999996</v>
      </c>
      <c r="G62" s="113">
        <f>+E62+F62</f>
        <v>904288950.3299999</v>
      </c>
      <c r="H62" s="113">
        <f>+'[11]externa'!$BZ$112</f>
        <v>688457872.62</v>
      </c>
      <c r="I62" s="113">
        <f>+'[11]externa'!$CA$112+'[11]externa'!$CB$112</f>
        <v>184967582.45000002</v>
      </c>
      <c r="J62" s="113">
        <f>+H62+I62</f>
        <v>873425455.07</v>
      </c>
      <c r="K62" s="113">
        <f>+'[11]externa'!$BZ$125</f>
        <v>789717247.5799999</v>
      </c>
      <c r="L62" s="113">
        <f>+'[11]externa'!$CA$125+'[11]externa'!$CB$125</f>
        <v>168699314.25</v>
      </c>
      <c r="M62" s="113">
        <f>+K62+L62</f>
        <v>958416561.8299999</v>
      </c>
      <c r="N62" s="113">
        <f>+'[11]externa'!$BZ$138</f>
        <v>728741910.48</v>
      </c>
      <c r="O62" s="113">
        <f>+'[11]externa'!$CA$138+'[11]externa'!$CB$138</f>
        <v>151548815.24</v>
      </c>
      <c r="P62" s="113">
        <f>+N62+O62</f>
        <v>880290725.72</v>
      </c>
      <c r="Q62" s="113">
        <f>+'[11]externa'!$BZ$151</f>
        <v>728741910.48</v>
      </c>
      <c r="R62" s="113">
        <f>+'[11]externa'!$CA$151+'[11]externa'!$CB$151</f>
        <v>136513748.04000002</v>
      </c>
      <c r="S62" s="113">
        <f>+Q62+R62</f>
        <v>865255658.52</v>
      </c>
      <c r="T62" s="113">
        <f>+'[11]externa'!$BZ$164</f>
        <v>728741910.48</v>
      </c>
      <c r="U62" s="113">
        <f>+'[11]externa'!$CA$164+'[11]externa'!$CB$164</f>
        <v>121478680.75</v>
      </c>
      <c r="V62" s="113">
        <f>+T62+U62</f>
        <v>850220591.23</v>
      </c>
      <c r="W62" s="113">
        <f>+'[11]externa'!$BZ$177</f>
        <v>553671900.23</v>
      </c>
      <c r="X62" s="113">
        <f>+'[11]externa'!$CA$177+'[11]externa'!$CB$177</f>
        <v>108082523.56</v>
      </c>
      <c r="Y62" s="113">
        <f>+W62+X62</f>
        <v>661754423.79</v>
      </c>
      <c r="Z62" s="113">
        <f>+'[11]externa'!$BZ$190</f>
        <v>558527790.1</v>
      </c>
      <c r="AA62" s="113">
        <f>+'[11]externa'!$CA$190+'[11]externa'!$CB$190</f>
        <v>98964247.77000001</v>
      </c>
      <c r="AB62" s="113">
        <f>+Z62+AA62</f>
        <v>657492037.87</v>
      </c>
      <c r="AC62" s="113">
        <f>+'[11]externa'!$BZ$203</f>
        <v>918820677.67</v>
      </c>
      <c r="AD62" s="113">
        <f>+'[11]externa'!$CA$203+'[11]externa'!$CB$203</f>
        <v>88650519.24999999</v>
      </c>
      <c r="AE62" s="113">
        <f>+AC62+AD62</f>
        <v>1007471196.92</v>
      </c>
      <c r="AF62" s="113">
        <f>+'[11]externa'!$BZ$216</f>
        <v>791443855.14</v>
      </c>
      <c r="AG62" s="113">
        <f>+'[11]externa'!$CA$216+'[11]externa'!$CB$216</f>
        <v>74881808.86999999</v>
      </c>
      <c r="AH62" s="113">
        <f>+AF62+AG62</f>
        <v>866325664.01</v>
      </c>
      <c r="AI62" s="113">
        <f>+'[11]externa'!$BZ$229</f>
        <v>726637855.14</v>
      </c>
      <c r="AJ62" s="113">
        <f>+'[11]externa'!$CA$229+'[11]externa'!$CB$229</f>
        <v>62760131.66</v>
      </c>
      <c r="AK62" s="113">
        <f>+AI62+AJ62</f>
        <v>789397986.8</v>
      </c>
      <c r="AL62" s="113">
        <f>+'[11]externa'!$BZ$242</f>
        <v>659708259.53</v>
      </c>
      <c r="AM62" s="113">
        <f>+'[11]externa'!$CA$242+'[11]externa'!$CB$242</f>
        <v>51408138.22</v>
      </c>
      <c r="AN62" s="113">
        <f>+AL62+AM62</f>
        <v>711116397.75</v>
      </c>
      <c r="AO62" s="113">
        <f>+'[11]externa'!$BZ$255</f>
        <v>576419777.7699999</v>
      </c>
      <c r="AP62" s="113">
        <f>+'[11]externa'!$CA$255+'[11]externa'!$CB$255</f>
        <v>41070056</v>
      </c>
      <c r="AQ62" s="113">
        <f>+AO62+AP62</f>
        <v>617489833.7699999</v>
      </c>
      <c r="AR62" s="113">
        <f>+'[11]externa'!$BZ$268</f>
        <v>527657891.9599999</v>
      </c>
      <c r="AS62" s="113">
        <f>+'[11]externa'!$CA$268+'[11]externa'!$CB$268</f>
        <v>31682867.869999994</v>
      </c>
      <c r="AT62" s="113">
        <f>+AR62+AS62</f>
        <v>559340759.8299999</v>
      </c>
      <c r="AU62" s="113">
        <f>+'[11]externa'!$BZ$281</f>
        <v>496911301.63</v>
      </c>
      <c r="AV62" s="113">
        <f>+'[11]externa'!$CA$281+'[11]externa'!$CB$281</f>
        <v>22706624.18</v>
      </c>
      <c r="AW62" s="113">
        <f>+AU62+AV62</f>
        <v>519617925.81</v>
      </c>
      <c r="AX62" s="113">
        <f>+'[11]externa'!$BZ$294</f>
        <v>392937171.65999997</v>
      </c>
      <c r="AY62" s="113">
        <f>+'[11]externa'!$CA$294+'[11]externa'!$CB$294</f>
        <v>14725724.170000002</v>
      </c>
      <c r="AZ62" s="113">
        <f>+AX62+AY62</f>
        <v>407662895.83</v>
      </c>
      <c r="BA62" s="113">
        <f>+'[11]externa'!$BZ$307</f>
        <v>319176678.66</v>
      </c>
      <c r="BB62" s="113">
        <f>+'[11]externa'!$CA$307+'[11]externa'!$CB$307</f>
        <v>8771529.82</v>
      </c>
      <c r="BC62" s="113">
        <f>+BA62+BB62</f>
        <v>327948208.48</v>
      </c>
      <c r="BD62" s="113">
        <f>+'[11]externa'!$BZ$320</f>
        <v>276446194.5</v>
      </c>
      <c r="BE62" s="113">
        <f>+'[11]externa'!$CA$320+'[11]externa'!$CB$320</f>
        <v>5039242.300000001</v>
      </c>
      <c r="BF62" s="113">
        <f>+BD62+BE62</f>
        <v>281485436.8</v>
      </c>
      <c r="BG62" s="113">
        <f>+'[11]externa'!$BZ$333</f>
        <v>144070218.60000002</v>
      </c>
      <c r="BH62" s="113">
        <f>+'[11]externa'!$CA$333+'[11]externa'!$CB$333</f>
        <v>2165565.4</v>
      </c>
      <c r="BI62" s="113">
        <f>+BG62+BH62</f>
        <v>146235784.00000003</v>
      </c>
      <c r="BJ62" s="113">
        <f>+'[11]externa'!$BZ$346</f>
        <v>80100216</v>
      </c>
      <c r="BK62" s="113">
        <f>+'[11]externa'!$CA$346+'[11]externa'!$CB$346</f>
        <v>693100.1699999999</v>
      </c>
      <c r="BL62" s="113">
        <f>+BJ62+BK62</f>
        <v>80793316.17</v>
      </c>
      <c r="BM62" s="113">
        <f>+'[11]externa'!$BZ$359</f>
        <v>0</v>
      </c>
      <c r="BN62" s="113">
        <f>+'[11]externa'!$CA$359+'[11]externa'!$CB$359</f>
        <v>0</v>
      </c>
      <c r="BO62" s="113">
        <f>+BM62+BN62</f>
        <v>0</v>
      </c>
      <c r="BP62" s="113">
        <f>+'[11]externa'!$BZ$372</f>
        <v>0</v>
      </c>
      <c r="BQ62" s="113">
        <f>+'[11]externa'!$CA$372+'[11]externa'!$CB$372</f>
        <v>0</v>
      </c>
      <c r="BR62" s="113">
        <f>+BP62+BQ62</f>
        <v>0</v>
      </c>
      <c r="BS62" s="113">
        <f>+'[11]externa'!$BZ$385</f>
        <v>0</v>
      </c>
      <c r="BT62" s="113">
        <f>+'[11]externa'!$CA$385+'[11]externa'!$CB$385</f>
        <v>0</v>
      </c>
      <c r="BU62" s="113">
        <f>+BS62+BT62</f>
        <v>0</v>
      </c>
      <c r="BV62" s="113">
        <f>+'[11]externa'!$BZ$398</f>
        <v>0</v>
      </c>
      <c r="BW62" s="113">
        <f>+'[11]externa'!$CA$398+'[11]externa'!$CB$398</f>
        <v>0</v>
      </c>
      <c r="BX62" s="113">
        <f>+BV62+BW62</f>
        <v>0</v>
      </c>
      <c r="BY62" s="113">
        <f>+'[11]externa'!$BZ$411</f>
        <v>0</v>
      </c>
      <c r="BZ62" s="113">
        <f>+'[11]externa'!$CA$411+'[11]externa'!$CB$411</f>
        <v>0</v>
      </c>
      <c r="CA62" s="113">
        <f>+BY62+BZ62</f>
        <v>0</v>
      </c>
      <c r="CB62" s="113">
        <f>+'[11]externa'!$BZ$424</f>
        <v>0</v>
      </c>
      <c r="CC62" s="113">
        <f>+'[11]externa'!$CA$424+'[11]externa'!$CB$424</f>
        <v>0</v>
      </c>
      <c r="CD62" s="113">
        <f>+CB62+CC62</f>
        <v>0</v>
      </c>
      <c r="CE62" s="113">
        <f>+'[11]externa'!$BZ$437</f>
        <v>0</v>
      </c>
      <c r="CF62" s="113">
        <f>+'[11]externa'!$CA$437+'[11]externa'!$CB$437</f>
        <v>0</v>
      </c>
      <c r="CG62" s="113">
        <f>+CE62+CF62</f>
        <v>0</v>
      </c>
      <c r="CH62" s="113">
        <f>+'[11]externa'!$BZ$450</f>
        <v>0</v>
      </c>
      <c r="CI62" s="113">
        <f>+'[11]externa'!$CA$450+'[11]externa'!$CB$450</f>
        <v>0</v>
      </c>
      <c r="CJ62" s="113">
        <f>+CH62+CI62</f>
        <v>0</v>
      </c>
      <c r="CK62" s="89"/>
      <c r="CL62" s="89"/>
      <c r="CM62" s="89"/>
    </row>
    <row r="63" spans="1:91" ht="15" hidden="1">
      <c r="A63" s="112" t="s">
        <v>8</v>
      </c>
      <c r="B63" s="113">
        <f aca="true" t="shared" si="97" ref="B63:BG63">+B60+B61+B62</f>
        <v>4086457301.32</v>
      </c>
      <c r="C63" s="113">
        <f t="shared" si="97"/>
        <v>4111164148.3700004</v>
      </c>
      <c r="D63" s="113">
        <f t="shared" si="97"/>
        <v>8197621449.69</v>
      </c>
      <c r="E63" s="113">
        <f t="shared" si="97"/>
        <v>4114557067.7900004</v>
      </c>
      <c r="F63" s="113">
        <f t="shared" si="97"/>
        <v>3924451251.0399995</v>
      </c>
      <c r="G63" s="113">
        <f t="shared" si="97"/>
        <v>8039008318.83</v>
      </c>
      <c r="H63" s="113">
        <f t="shared" si="97"/>
        <v>4209996658.2699995</v>
      </c>
      <c r="I63" s="113">
        <f t="shared" si="97"/>
        <v>3726802724.7999997</v>
      </c>
      <c r="J63" s="113">
        <f t="shared" si="97"/>
        <v>7936799383.07</v>
      </c>
      <c r="K63" s="113">
        <f t="shared" si="97"/>
        <v>4487918501.58</v>
      </c>
      <c r="L63" s="113">
        <f t="shared" si="97"/>
        <v>3516118687.85</v>
      </c>
      <c r="M63" s="113">
        <f t="shared" si="97"/>
        <v>8004037189.43</v>
      </c>
      <c r="N63" s="113">
        <f t="shared" si="97"/>
        <v>4440369005.1</v>
      </c>
      <c r="O63" s="113">
        <f t="shared" si="97"/>
        <v>3262227182.9299994</v>
      </c>
      <c r="P63" s="113">
        <f t="shared" si="97"/>
        <v>7702596188.03</v>
      </c>
      <c r="Q63" s="113">
        <f t="shared" si="97"/>
        <v>4571366052.99</v>
      </c>
      <c r="R63" s="113">
        <f t="shared" si="97"/>
        <v>3046337572.5199995</v>
      </c>
      <c r="S63" s="113">
        <f t="shared" si="97"/>
        <v>7617703625.51</v>
      </c>
      <c r="T63" s="113">
        <f t="shared" si="97"/>
        <v>4698892144.9</v>
      </c>
      <c r="U63" s="113">
        <f t="shared" si="97"/>
        <v>2822314913.91</v>
      </c>
      <c r="V63" s="113">
        <f t="shared" si="97"/>
        <v>7521207058.809999</v>
      </c>
      <c r="W63" s="113">
        <f t="shared" si="97"/>
        <v>3877039678.1599994</v>
      </c>
      <c r="X63" s="113">
        <f t="shared" si="97"/>
        <v>2601670811.91</v>
      </c>
      <c r="Y63" s="113">
        <f t="shared" si="97"/>
        <v>6478710490.069999</v>
      </c>
      <c r="Z63" s="113">
        <f t="shared" si="97"/>
        <v>3138378004.8</v>
      </c>
      <c r="AA63" s="113">
        <f t="shared" si="97"/>
        <v>2446902174.85</v>
      </c>
      <c r="AB63" s="113">
        <f t="shared" si="97"/>
        <v>5585280179.65</v>
      </c>
      <c r="AC63" s="113">
        <f t="shared" si="97"/>
        <v>3565992770.4900002</v>
      </c>
      <c r="AD63" s="113">
        <f t="shared" si="97"/>
        <v>2311329558.81</v>
      </c>
      <c r="AE63" s="113">
        <f t="shared" si="97"/>
        <v>5877322329.3</v>
      </c>
      <c r="AF63" s="113">
        <f t="shared" si="97"/>
        <v>3506782305.68</v>
      </c>
      <c r="AG63" s="113">
        <f t="shared" si="97"/>
        <v>2166826199.5300007</v>
      </c>
      <c r="AH63" s="113">
        <f t="shared" si="97"/>
        <v>5673608505.210001</v>
      </c>
      <c r="AI63" s="113">
        <f t="shared" si="97"/>
        <v>3309880939.85</v>
      </c>
      <c r="AJ63" s="113">
        <f t="shared" si="97"/>
        <v>1991811825.67</v>
      </c>
      <c r="AK63" s="113">
        <f t="shared" si="97"/>
        <v>5301692765.52</v>
      </c>
      <c r="AL63" s="113">
        <f t="shared" si="97"/>
        <v>2807659756.8</v>
      </c>
      <c r="AM63" s="113">
        <f t="shared" si="97"/>
        <v>1811888550.85</v>
      </c>
      <c r="AN63" s="113">
        <f t="shared" si="97"/>
        <v>4619548307.65</v>
      </c>
      <c r="AO63" s="113">
        <f t="shared" si="97"/>
        <v>2657157657.3500004</v>
      </c>
      <c r="AP63" s="113">
        <f t="shared" si="97"/>
        <v>1682539920.58</v>
      </c>
      <c r="AQ63" s="113">
        <f t="shared" si="97"/>
        <v>4339697577.929999</v>
      </c>
      <c r="AR63" s="113">
        <f t="shared" si="97"/>
        <v>2640412467.79</v>
      </c>
      <c r="AS63" s="113">
        <f t="shared" si="97"/>
        <v>1579689223.7899997</v>
      </c>
      <c r="AT63" s="113">
        <f t="shared" si="97"/>
        <v>4220101691.58</v>
      </c>
      <c r="AU63" s="113">
        <f t="shared" si="97"/>
        <v>2668443290.03</v>
      </c>
      <c r="AV63" s="113">
        <f t="shared" si="97"/>
        <v>1477855460.25</v>
      </c>
      <c r="AW63" s="113">
        <f t="shared" si="97"/>
        <v>4146298750.28</v>
      </c>
      <c r="AX63" s="113">
        <f t="shared" si="97"/>
        <v>2640679356.3399997</v>
      </c>
      <c r="AY63" s="113">
        <f t="shared" si="97"/>
        <v>1373707625.5200002</v>
      </c>
      <c r="AZ63" s="113">
        <f t="shared" si="97"/>
        <v>4014386981.8600006</v>
      </c>
      <c r="BA63" s="113">
        <f t="shared" si="97"/>
        <v>2646216297.48</v>
      </c>
      <c r="BB63" s="113">
        <f t="shared" si="97"/>
        <v>1268682724.8999999</v>
      </c>
      <c r="BC63" s="113">
        <f t="shared" si="97"/>
        <v>3914899022.38</v>
      </c>
      <c r="BD63" s="113">
        <f t="shared" si="97"/>
        <v>2686013947.32</v>
      </c>
      <c r="BE63" s="113">
        <f t="shared" si="97"/>
        <v>1162683515.59</v>
      </c>
      <c r="BF63" s="113">
        <f t="shared" si="97"/>
        <v>3848697462.9100003</v>
      </c>
      <c r="BG63" s="113">
        <f t="shared" si="97"/>
        <v>2591443251.61</v>
      </c>
      <c r="BH63" s="113">
        <f aca="true" t="shared" si="98" ref="BH63:CJ63">+BH60+BH61+BH62</f>
        <v>1054284376.8700001</v>
      </c>
      <c r="BI63" s="113">
        <f t="shared" si="98"/>
        <v>3645727628.4800005</v>
      </c>
      <c r="BJ63" s="113">
        <f t="shared" si="98"/>
        <v>2616882949.8900003</v>
      </c>
      <c r="BK63" s="113">
        <f t="shared" si="98"/>
        <v>948377648.91</v>
      </c>
      <c r="BL63" s="113">
        <f t="shared" si="98"/>
        <v>3565260598.8000007</v>
      </c>
      <c r="BM63" s="113">
        <f t="shared" si="98"/>
        <v>2629814378.2400002</v>
      </c>
      <c r="BN63" s="113">
        <f t="shared" si="98"/>
        <v>839729434.4699999</v>
      </c>
      <c r="BO63" s="113">
        <f t="shared" si="98"/>
        <v>3469543812.71</v>
      </c>
      <c r="BP63" s="113">
        <f t="shared" si="98"/>
        <v>2601767464.63</v>
      </c>
      <c r="BQ63" s="113">
        <f t="shared" si="98"/>
        <v>729639667.75</v>
      </c>
      <c r="BR63" s="113">
        <f t="shared" si="98"/>
        <v>3331407132.38</v>
      </c>
      <c r="BS63" s="113">
        <f t="shared" si="98"/>
        <v>2574055761.3</v>
      </c>
      <c r="BT63" s="113">
        <f t="shared" si="98"/>
        <v>626700721.1899999</v>
      </c>
      <c r="BU63" s="113">
        <f t="shared" si="98"/>
        <v>3200756482.49</v>
      </c>
      <c r="BV63" s="113">
        <f t="shared" si="98"/>
        <v>2678951103.4400005</v>
      </c>
      <c r="BW63" s="113">
        <f t="shared" si="98"/>
        <v>521834899.63</v>
      </c>
      <c r="BX63" s="113">
        <f t="shared" si="98"/>
        <v>3200786003.07</v>
      </c>
      <c r="BY63" s="113">
        <f t="shared" si="98"/>
        <v>2788095704.81</v>
      </c>
      <c r="BZ63" s="113">
        <f t="shared" si="98"/>
        <v>412690298.23</v>
      </c>
      <c r="CA63" s="113">
        <f t="shared" si="98"/>
        <v>3200786003.04</v>
      </c>
      <c r="CB63" s="113">
        <f t="shared" si="98"/>
        <v>2901687025.6400003</v>
      </c>
      <c r="CC63" s="113">
        <f t="shared" si="98"/>
        <v>299098977.41999996</v>
      </c>
      <c r="CD63" s="113">
        <f t="shared" si="98"/>
        <v>3200786003.0599995</v>
      </c>
      <c r="CE63" s="113">
        <f t="shared" si="98"/>
        <v>3019878795.58</v>
      </c>
      <c r="CF63" s="113">
        <f t="shared" si="98"/>
        <v>180877686.91000003</v>
      </c>
      <c r="CG63" s="113">
        <f t="shared" si="98"/>
        <v>3200756482.49</v>
      </c>
      <c r="CH63" s="113">
        <f t="shared" si="98"/>
        <v>2610368941.94</v>
      </c>
      <c r="CI63" s="113">
        <f t="shared" si="98"/>
        <v>56957944.059999995</v>
      </c>
      <c r="CJ63" s="113">
        <f t="shared" si="98"/>
        <v>2667326886</v>
      </c>
      <c r="CK63" s="89"/>
      <c r="CL63" s="89"/>
      <c r="CM63" s="89"/>
    </row>
    <row r="64" spans="2:91" ht="15" hidden="1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</row>
    <row r="65" spans="2:91" ht="15" hidden="1">
      <c r="B65" s="113">
        <f aca="true" t="shared" si="99" ref="B65:AA65">+B10</f>
        <v>1963648169.7479637</v>
      </c>
      <c r="C65" s="113">
        <f t="shared" si="99"/>
        <v>8067501113.513061</v>
      </c>
      <c r="D65" s="113">
        <f t="shared" si="99"/>
        <v>10031149283.261024</v>
      </c>
      <c r="E65" s="113">
        <f t="shared" si="99"/>
        <v>2747874645.0410614</v>
      </c>
      <c r="F65" s="113">
        <f t="shared" si="99"/>
        <v>8872743490.2421</v>
      </c>
      <c r="G65" s="113">
        <f t="shared" si="99"/>
        <v>11620618135.283161</v>
      </c>
      <c r="H65" s="113">
        <f t="shared" si="99"/>
        <v>4322935096.338783</v>
      </c>
      <c r="I65" s="113">
        <f t="shared" si="99"/>
        <v>8956129129.770971</v>
      </c>
      <c r="J65" s="113">
        <f t="shared" si="99"/>
        <v>13279064226.109755</v>
      </c>
      <c r="K65" s="113">
        <f t="shared" si="99"/>
        <v>5915083342.626831</v>
      </c>
      <c r="L65" s="113">
        <f t="shared" si="99"/>
        <v>8933694779.885601</v>
      </c>
      <c r="M65" s="113">
        <f t="shared" si="99"/>
        <v>14848778122.512432</v>
      </c>
      <c r="N65" s="113">
        <f t="shared" si="99"/>
        <v>7520693749.391327</v>
      </c>
      <c r="O65" s="113">
        <f t="shared" si="99"/>
        <v>8905953359.862778</v>
      </c>
      <c r="P65" s="113">
        <f t="shared" si="99"/>
        <v>16426647109.254105</v>
      </c>
      <c r="Q65" s="113">
        <f t="shared" si="99"/>
        <v>8003983619.115597</v>
      </c>
      <c r="R65" s="113">
        <f t="shared" si="99"/>
        <v>8820722059.786097</v>
      </c>
      <c r="S65" s="113">
        <f t="shared" si="99"/>
        <v>16824705678.901695</v>
      </c>
      <c r="T65" s="113">
        <f t="shared" si="99"/>
        <v>9015237568.046104</v>
      </c>
      <c r="U65" s="113">
        <f t="shared" si="99"/>
        <v>8720933693.74784</v>
      </c>
      <c r="V65" s="113">
        <f t="shared" si="99"/>
        <v>17736171261.793945</v>
      </c>
      <c r="W65" s="113">
        <f t="shared" si="99"/>
        <v>9288876923.612753</v>
      </c>
      <c r="X65" s="113">
        <f t="shared" si="99"/>
        <v>8704529162.965122</v>
      </c>
      <c r="Y65" s="113">
        <f t="shared" si="99"/>
        <v>17993406086.577873</v>
      </c>
      <c r="Z65" s="113">
        <f t="shared" si="99"/>
        <v>9476833474.78526</v>
      </c>
      <c r="AA65" s="113">
        <f t="shared" si="99"/>
        <v>8583962641.010247</v>
      </c>
      <c r="AB65" s="113">
        <f aca="true" t="shared" si="100" ref="AB65:BG65">+AB10</f>
        <v>18060796115.795506</v>
      </c>
      <c r="AC65" s="113">
        <f t="shared" si="100"/>
        <v>9245886817.880327</v>
      </c>
      <c r="AD65" s="113">
        <f t="shared" si="100"/>
        <v>8466319947.029144</v>
      </c>
      <c r="AE65" s="113">
        <f t="shared" si="100"/>
        <v>17712206764.909473</v>
      </c>
      <c r="AF65" s="113">
        <f t="shared" si="100"/>
        <v>9634797652.769968</v>
      </c>
      <c r="AG65" s="113">
        <f t="shared" si="100"/>
        <v>8397665283.158452</v>
      </c>
      <c r="AH65" s="113">
        <f t="shared" si="100"/>
        <v>18032462935.92842</v>
      </c>
      <c r="AI65" s="113">
        <f t="shared" si="100"/>
        <v>10326966530.42</v>
      </c>
      <c r="AJ65" s="113">
        <f t="shared" si="100"/>
        <v>8316484430.570302</v>
      </c>
      <c r="AK65" s="113">
        <f t="shared" si="100"/>
        <v>18643450960.990303</v>
      </c>
      <c r="AL65" s="113">
        <f t="shared" si="100"/>
        <v>11076426695.198002</v>
      </c>
      <c r="AM65" s="113">
        <f t="shared" si="100"/>
        <v>8211138387.968414</v>
      </c>
      <c r="AN65" s="113">
        <f t="shared" si="100"/>
        <v>19287565083.166412</v>
      </c>
      <c r="AO65" s="113">
        <f t="shared" si="100"/>
        <v>11795886244.812</v>
      </c>
      <c r="AP65" s="113">
        <f t="shared" si="100"/>
        <v>7998281026.26837</v>
      </c>
      <c r="AQ65" s="113">
        <f t="shared" si="100"/>
        <v>19794167271.080368</v>
      </c>
      <c r="AR65" s="113">
        <f t="shared" si="100"/>
        <v>12515677260.67</v>
      </c>
      <c r="AS65" s="113">
        <f t="shared" si="100"/>
        <v>7751305932.712544</v>
      </c>
      <c r="AT65" s="113">
        <f t="shared" si="100"/>
        <v>20266983193.38254</v>
      </c>
      <c r="AU65" s="113">
        <f t="shared" si="100"/>
        <v>13371096826.093998</v>
      </c>
      <c r="AV65" s="113">
        <f t="shared" si="100"/>
        <v>7465894509.800256</v>
      </c>
      <c r="AW65" s="113">
        <f t="shared" si="100"/>
        <v>20836991335.894257</v>
      </c>
      <c r="AX65" s="113">
        <f t="shared" si="100"/>
        <v>13985093524.447002</v>
      </c>
      <c r="AY65" s="113">
        <f t="shared" si="100"/>
        <v>7151950239.724999</v>
      </c>
      <c r="AZ65" s="113">
        <f t="shared" si="100"/>
        <v>21137043764.172</v>
      </c>
      <c r="BA65" s="113">
        <f t="shared" si="100"/>
        <v>14941536938.195002</v>
      </c>
      <c r="BB65" s="113">
        <f t="shared" si="100"/>
        <v>6791115484.419999</v>
      </c>
      <c r="BC65" s="113">
        <f t="shared" si="100"/>
        <v>21732652422.614998</v>
      </c>
      <c r="BD65" s="113">
        <f t="shared" si="100"/>
        <v>15972657568.109999</v>
      </c>
      <c r="BE65" s="113">
        <f t="shared" si="100"/>
        <v>6391414709.059999</v>
      </c>
      <c r="BF65" s="113">
        <f t="shared" si="100"/>
        <v>22364072277.17</v>
      </c>
      <c r="BG65" s="113">
        <f t="shared" si="100"/>
        <v>17186593724.77</v>
      </c>
      <c r="BH65" s="113">
        <f aca="true" t="shared" si="101" ref="BH65:CJ65">+BH10</f>
        <v>5935993684.549999</v>
      </c>
      <c r="BI65" s="113">
        <f t="shared" si="101"/>
        <v>23122587409.320004</v>
      </c>
      <c r="BJ65" s="113">
        <f t="shared" si="101"/>
        <v>18159849237.25</v>
      </c>
      <c r="BK65" s="113">
        <f t="shared" si="101"/>
        <v>5425837875.49</v>
      </c>
      <c r="BL65" s="113">
        <f t="shared" si="101"/>
        <v>23585687112.74</v>
      </c>
      <c r="BM65" s="113">
        <f t="shared" si="101"/>
        <v>19150396361.85</v>
      </c>
      <c r="BN65" s="113">
        <f t="shared" si="101"/>
        <v>4844247791.82</v>
      </c>
      <c r="BO65" s="113">
        <f t="shared" si="101"/>
        <v>23994644153.67</v>
      </c>
      <c r="BP65" s="113">
        <f t="shared" si="101"/>
        <v>20622035716.59</v>
      </c>
      <c r="BQ65" s="113">
        <f t="shared" si="101"/>
        <v>4196703109.83</v>
      </c>
      <c r="BR65" s="113">
        <f t="shared" si="101"/>
        <v>24818738826.42</v>
      </c>
      <c r="BS65" s="113">
        <f t="shared" si="101"/>
        <v>22206498097.39</v>
      </c>
      <c r="BT65" s="113">
        <f t="shared" si="101"/>
        <v>3465634776.73</v>
      </c>
      <c r="BU65" s="113">
        <f t="shared" si="101"/>
        <v>25672132874.120003</v>
      </c>
      <c r="BV65" s="113">
        <f t="shared" si="101"/>
        <v>23907753525.550003</v>
      </c>
      <c r="BW65" s="113">
        <f t="shared" si="101"/>
        <v>2648006259.91</v>
      </c>
      <c r="BX65" s="113">
        <f t="shared" si="101"/>
        <v>26555759785.46</v>
      </c>
      <c r="BY65" s="113">
        <f t="shared" si="101"/>
        <v>23232902538.92</v>
      </c>
      <c r="BZ65" s="113">
        <f t="shared" si="101"/>
        <v>1721900451.7999997</v>
      </c>
      <c r="CA65" s="113">
        <f t="shared" si="101"/>
        <v>24954802990.72</v>
      </c>
      <c r="CB65" s="113">
        <f t="shared" si="101"/>
        <v>11957955891.710001</v>
      </c>
      <c r="CC65" s="113">
        <f t="shared" si="101"/>
        <v>1073656762.63</v>
      </c>
      <c r="CD65" s="113">
        <f t="shared" si="101"/>
        <v>13031612654.34</v>
      </c>
      <c r="CE65" s="113">
        <f t="shared" si="101"/>
        <v>12884565372.099998</v>
      </c>
      <c r="CF65" s="113">
        <f t="shared" si="101"/>
        <v>599010212.79</v>
      </c>
      <c r="CG65" s="113">
        <f t="shared" si="101"/>
        <v>13483575584.89</v>
      </c>
      <c r="CH65" s="113">
        <f t="shared" si="101"/>
        <v>7972115281.860001</v>
      </c>
      <c r="CI65" s="113">
        <f t="shared" si="101"/>
        <v>108648242.30000001</v>
      </c>
      <c r="CJ65" s="113">
        <f t="shared" si="101"/>
        <v>8080763524.160001</v>
      </c>
      <c r="CK65" s="89"/>
      <c r="CL65" s="89"/>
      <c r="CM65" s="89"/>
    </row>
    <row r="66" spans="2:91" ht="15" hidden="1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</row>
    <row r="67" spans="1:91" ht="15" hidden="1">
      <c r="A67" s="112" t="s">
        <v>131</v>
      </c>
      <c r="B67" s="113">
        <f aca="true" t="shared" si="102" ref="B67:BG69">+B50-B60</f>
        <v>-703945220.1100001</v>
      </c>
      <c r="C67" s="113">
        <f t="shared" si="102"/>
        <v>3111221183.3218718</v>
      </c>
      <c r="D67" s="113">
        <f t="shared" si="102"/>
        <v>2407275963.211872</v>
      </c>
      <c r="E67" s="113">
        <f t="shared" si="102"/>
        <v>-478067146.07819057</v>
      </c>
      <c r="F67" s="113">
        <f t="shared" si="102"/>
        <v>4143655830.709999</v>
      </c>
      <c r="G67" s="113">
        <f t="shared" si="102"/>
        <v>3665588684.6318083</v>
      </c>
      <c r="H67" s="113">
        <f t="shared" si="102"/>
        <v>416550611.44125175</v>
      </c>
      <c r="I67" s="113">
        <f t="shared" si="102"/>
        <v>4518223973.25</v>
      </c>
      <c r="J67" s="113">
        <f t="shared" si="102"/>
        <v>4934774584.691251</v>
      </c>
      <c r="K67" s="113">
        <f t="shared" si="102"/>
        <v>1311880298.253955</v>
      </c>
      <c r="L67" s="113">
        <f t="shared" si="102"/>
        <v>4851633515.93</v>
      </c>
      <c r="M67" s="113">
        <f t="shared" si="102"/>
        <v>6163513814.183955</v>
      </c>
      <c r="N67" s="113">
        <f t="shared" si="102"/>
        <v>2608089772.000001</v>
      </c>
      <c r="O67" s="113">
        <f t="shared" si="102"/>
        <v>5140568595.719999</v>
      </c>
      <c r="P67" s="113">
        <f t="shared" si="102"/>
        <v>7748658367.720001</v>
      </c>
      <c r="Q67" s="113">
        <f t="shared" si="102"/>
        <v>2922187053.700001</v>
      </c>
      <c r="R67" s="113">
        <f t="shared" si="102"/>
        <v>5365944235.49</v>
      </c>
      <c r="S67" s="113">
        <f t="shared" si="102"/>
        <v>8288131289.190001</v>
      </c>
      <c r="T67" s="113">
        <f t="shared" si="102"/>
        <v>3257086400.3500004</v>
      </c>
      <c r="U67" s="113">
        <f t="shared" si="102"/>
        <v>5593463529.24</v>
      </c>
      <c r="V67" s="113">
        <f t="shared" si="102"/>
        <v>8850549929.59</v>
      </c>
      <c r="W67" s="113">
        <f t="shared" si="102"/>
        <v>4317210130.1</v>
      </c>
      <c r="X67" s="113">
        <f t="shared" si="102"/>
        <v>5929307726.86</v>
      </c>
      <c r="Y67" s="113">
        <f t="shared" si="102"/>
        <v>10246517856.96</v>
      </c>
      <c r="Z67" s="113">
        <f t="shared" si="102"/>
        <v>5610271414.369999</v>
      </c>
      <c r="AA67" s="113">
        <f t="shared" si="102"/>
        <v>6087644036.800001</v>
      </c>
      <c r="AB67" s="113">
        <f t="shared" si="102"/>
        <v>11697915451.17</v>
      </c>
      <c r="AC67" s="113">
        <f t="shared" si="102"/>
        <v>6178390063.86</v>
      </c>
      <c r="AD67" s="113">
        <f t="shared" si="102"/>
        <v>6173015429.05</v>
      </c>
      <c r="AE67" s="113">
        <f t="shared" si="102"/>
        <v>12351405492.91</v>
      </c>
      <c r="AF67" s="113">
        <f t="shared" si="102"/>
        <v>6783479416.11</v>
      </c>
      <c r="AG67" s="113">
        <f t="shared" si="102"/>
        <v>6248576040.639998</v>
      </c>
      <c r="AH67" s="113">
        <f t="shared" si="102"/>
        <v>13032055456.749998</v>
      </c>
      <c r="AI67" s="113">
        <f t="shared" si="102"/>
        <v>7442828494.450001</v>
      </c>
      <c r="AJ67" s="113">
        <f t="shared" si="102"/>
        <v>6299696748.73</v>
      </c>
      <c r="AK67" s="113">
        <f t="shared" si="102"/>
        <v>13742525243.18</v>
      </c>
      <c r="AL67" s="113">
        <f t="shared" si="102"/>
        <v>8144096141.820002</v>
      </c>
      <c r="AM67" s="113">
        <f t="shared" si="102"/>
        <v>6327086410.59</v>
      </c>
      <c r="AN67" s="113">
        <f t="shared" si="102"/>
        <v>14471182552.41</v>
      </c>
      <c r="AO67" s="113">
        <f t="shared" si="102"/>
        <v>8858385777.67</v>
      </c>
      <c r="AP67" s="113">
        <f t="shared" si="102"/>
        <v>6248132009.17</v>
      </c>
      <c r="AQ67" s="113">
        <f t="shared" si="102"/>
        <v>15106517786.84</v>
      </c>
      <c r="AR67" s="113">
        <f t="shared" si="102"/>
        <v>9602781277.84</v>
      </c>
      <c r="AS67" s="113">
        <f t="shared" si="102"/>
        <v>6133220520.83</v>
      </c>
      <c r="AT67" s="113">
        <f t="shared" si="102"/>
        <v>15736001798.669998</v>
      </c>
      <c r="AU67" s="113">
        <f t="shared" si="102"/>
        <v>10406835100.439999</v>
      </c>
      <c r="AV67" s="113">
        <f t="shared" si="102"/>
        <v>5980326099.499999</v>
      </c>
      <c r="AW67" s="113">
        <f t="shared" si="102"/>
        <v>16387161199.939999</v>
      </c>
      <c r="AX67" s="113">
        <f t="shared" si="102"/>
        <v>11265627964.730001</v>
      </c>
      <c r="AY67" s="113">
        <f t="shared" si="102"/>
        <v>5795697864.03</v>
      </c>
      <c r="AZ67" s="113">
        <f t="shared" si="102"/>
        <v>17061325828.760002</v>
      </c>
      <c r="BA67" s="113">
        <f t="shared" si="102"/>
        <v>12213541479.92</v>
      </c>
      <c r="BB67" s="113">
        <f t="shared" si="102"/>
        <v>5544853745.699999</v>
      </c>
      <c r="BC67" s="113">
        <f t="shared" si="102"/>
        <v>17758395225.619995</v>
      </c>
      <c r="BD67" s="113">
        <f t="shared" si="102"/>
        <v>13226061111.17</v>
      </c>
      <c r="BE67" s="113">
        <f t="shared" si="102"/>
        <v>5253008053.5199995</v>
      </c>
      <c r="BF67" s="113">
        <f t="shared" si="102"/>
        <v>18479069164.689995</v>
      </c>
      <c r="BG67" s="113">
        <f t="shared" si="102"/>
        <v>14319218050.820002</v>
      </c>
      <c r="BH67" s="113">
        <f aca="true" t="shared" si="103" ref="BH67:CJ69">+BH50-BH60</f>
        <v>4905336401.049999</v>
      </c>
      <c r="BI67" s="113">
        <f t="shared" si="103"/>
        <v>19224554451.870003</v>
      </c>
      <c r="BJ67" s="113">
        <f t="shared" si="103"/>
        <v>15491469396.500002</v>
      </c>
      <c r="BK67" s="113">
        <f t="shared" si="103"/>
        <v>4504918482.45</v>
      </c>
      <c r="BL67" s="113">
        <f t="shared" si="103"/>
        <v>19996387878.95</v>
      </c>
      <c r="BM67" s="113">
        <f t="shared" si="103"/>
        <v>16773905682.009998</v>
      </c>
      <c r="BN67" s="113">
        <f t="shared" si="103"/>
        <v>4019952468.5899997</v>
      </c>
      <c r="BO67" s="113">
        <f t="shared" si="103"/>
        <v>20793858150.6</v>
      </c>
      <c r="BP67" s="113">
        <f t="shared" si="103"/>
        <v>18148723139.71</v>
      </c>
      <c r="BQ67" s="113">
        <f t="shared" si="103"/>
        <v>3469229683.67</v>
      </c>
      <c r="BR67" s="113">
        <f t="shared" si="103"/>
        <v>21617952823.379997</v>
      </c>
      <c r="BS67" s="113">
        <f t="shared" si="103"/>
        <v>19632442336.09</v>
      </c>
      <c r="BT67" s="113">
        <f t="shared" si="103"/>
        <v>2838934055.54</v>
      </c>
      <c r="BU67" s="113">
        <f t="shared" si="103"/>
        <v>22471376391.630005</v>
      </c>
      <c r="BV67" s="113">
        <f t="shared" si="103"/>
        <v>21228802422.11</v>
      </c>
      <c r="BW67" s="113">
        <f t="shared" si="103"/>
        <v>2126171360.2799997</v>
      </c>
      <c r="BX67" s="113">
        <f t="shared" si="103"/>
        <v>23354973782.39</v>
      </c>
      <c r="BY67" s="113">
        <f t="shared" si="103"/>
        <v>20444806834.109997</v>
      </c>
      <c r="BZ67" s="113">
        <f t="shared" si="103"/>
        <v>1309210153.5699997</v>
      </c>
      <c r="CA67" s="113">
        <f t="shared" si="103"/>
        <v>21754016987.68</v>
      </c>
      <c r="CB67" s="113">
        <f t="shared" si="103"/>
        <v>9056268866.07</v>
      </c>
      <c r="CC67" s="113">
        <f t="shared" si="103"/>
        <v>774557785.21</v>
      </c>
      <c r="CD67" s="113">
        <f t="shared" si="103"/>
        <v>9830826651.28</v>
      </c>
      <c r="CE67" s="113">
        <f t="shared" si="103"/>
        <v>9864686576.519999</v>
      </c>
      <c r="CF67" s="113">
        <f t="shared" si="103"/>
        <v>418132525.87999994</v>
      </c>
      <c r="CG67" s="113">
        <f t="shared" si="103"/>
        <v>10282819102.4</v>
      </c>
      <c r="CH67" s="113">
        <f t="shared" si="103"/>
        <v>5361746339.92</v>
      </c>
      <c r="CI67" s="113">
        <f t="shared" si="103"/>
        <v>51690298.24000002</v>
      </c>
      <c r="CJ67" s="113">
        <f t="shared" si="103"/>
        <v>5413436638.160001</v>
      </c>
      <c r="CK67" s="89"/>
      <c r="CL67" s="89"/>
      <c r="CM67" s="89"/>
    </row>
    <row r="68" spans="1:91" ht="15" hidden="1">
      <c r="A68" s="112" t="s">
        <v>132</v>
      </c>
      <c r="B68" s="113">
        <f t="shared" si="102"/>
        <v>-886371037.826525</v>
      </c>
      <c r="C68" s="113">
        <f t="shared" si="102"/>
        <v>317412584.83959603</v>
      </c>
      <c r="D68" s="113">
        <f t="shared" si="102"/>
        <v>-568958452.9869289</v>
      </c>
      <c r="E68" s="113">
        <f t="shared" si="102"/>
        <v>-491193128.74240696</v>
      </c>
      <c r="F68" s="113">
        <f t="shared" si="102"/>
        <v>291421211.6572242</v>
      </c>
      <c r="G68" s="113">
        <f t="shared" si="102"/>
        <v>-199771917.0851829</v>
      </c>
      <c r="H68" s="113">
        <f t="shared" si="102"/>
        <v>-118671255.60487771</v>
      </c>
      <c r="I68" s="113">
        <f t="shared" si="102"/>
        <v>235053518.77132583</v>
      </c>
      <c r="J68" s="113">
        <f t="shared" si="102"/>
        <v>116382263.16644812</v>
      </c>
      <c r="K68" s="113">
        <f t="shared" si="102"/>
        <v>209320455.38888884</v>
      </c>
      <c r="L68" s="113">
        <f t="shared" si="102"/>
        <v>125987248.92097783</v>
      </c>
      <c r="M68" s="113">
        <f t="shared" si="102"/>
        <v>335307704.3098669</v>
      </c>
      <c r="N68" s="113">
        <f t="shared" si="102"/>
        <v>496184307.81732655</v>
      </c>
      <c r="O68" s="113">
        <f t="shared" si="102"/>
        <v>101439363.49403012</v>
      </c>
      <c r="P68" s="113">
        <f t="shared" si="102"/>
        <v>597623671.3113561</v>
      </c>
      <c r="Q68" s="113">
        <f t="shared" si="102"/>
        <v>525877835.50359607</v>
      </c>
      <c r="R68" s="113">
        <f t="shared" si="102"/>
        <v>33313646.39722526</v>
      </c>
      <c r="S68" s="113">
        <f t="shared" si="102"/>
        <v>559191481.9008217</v>
      </c>
      <c r="T68" s="113">
        <f t="shared" si="102"/>
        <v>575296171.5401845</v>
      </c>
      <c r="U68" s="113">
        <f t="shared" si="102"/>
        <v>-35376595.68315613</v>
      </c>
      <c r="V68" s="113">
        <f t="shared" si="102"/>
        <v>539919575.8570285</v>
      </c>
      <c r="W68" s="113">
        <f t="shared" si="102"/>
        <v>614524066.0327537</v>
      </c>
      <c r="X68" s="113">
        <f t="shared" si="102"/>
        <v>-109434069.04000002</v>
      </c>
      <c r="Y68" s="113">
        <f t="shared" si="102"/>
        <v>505089996.992754</v>
      </c>
      <c r="Z68" s="113">
        <f t="shared" si="102"/>
        <v>342319042.7752588</v>
      </c>
      <c r="AA68" s="113">
        <f t="shared" si="102"/>
        <v>-181764503.03999996</v>
      </c>
      <c r="AB68" s="113">
        <f t="shared" si="102"/>
        <v>160554539.73525882</v>
      </c>
      <c r="AC68" s="113">
        <f t="shared" si="102"/>
        <v>-435969871.52667224</v>
      </c>
      <c r="AD68" s="113">
        <f t="shared" si="102"/>
        <v>-204045761.85000008</v>
      </c>
      <c r="AE68" s="113">
        <f t="shared" si="102"/>
        <v>-640015633.3766723</v>
      </c>
      <c r="AF68" s="113">
        <f t="shared" si="102"/>
        <v>-633947403.2870321</v>
      </c>
      <c r="AG68" s="113">
        <f t="shared" si="102"/>
        <v>-167801124.95000002</v>
      </c>
      <c r="AH68" s="113">
        <f t="shared" si="102"/>
        <v>-801748528.237032</v>
      </c>
      <c r="AI68" s="113">
        <f t="shared" si="102"/>
        <v>-423459713.3800001</v>
      </c>
      <c r="AJ68" s="113">
        <f t="shared" si="102"/>
        <v>-92300562.71999997</v>
      </c>
      <c r="AK68" s="113">
        <f t="shared" si="102"/>
        <v>-515760276.10000014</v>
      </c>
      <c r="AL68" s="113">
        <f t="shared" si="102"/>
        <v>101103152.47000009</v>
      </c>
      <c r="AM68" s="113">
        <f t="shared" si="102"/>
        <v>-13871520.810000002</v>
      </c>
      <c r="AN68" s="113">
        <f t="shared" si="102"/>
        <v>87231631.66000009</v>
      </c>
      <c r="AO68" s="113">
        <f t="shared" si="102"/>
        <v>261930442.56999993</v>
      </c>
      <c r="AP68" s="113">
        <f t="shared" si="102"/>
        <v>9672226.080000013</v>
      </c>
      <c r="AQ68" s="113">
        <f t="shared" si="102"/>
        <v>271602668.65</v>
      </c>
      <c r="AR68" s="113">
        <f t="shared" si="102"/>
        <v>328129031.89</v>
      </c>
      <c r="AS68" s="113">
        <f t="shared" si="102"/>
        <v>4227489.379999995</v>
      </c>
      <c r="AT68" s="113">
        <f t="shared" si="102"/>
        <v>332356521.2700001</v>
      </c>
      <c r="AU68" s="113">
        <f t="shared" si="102"/>
        <v>372300474.00999993</v>
      </c>
      <c r="AV68" s="113">
        <f t="shared" si="102"/>
        <v>-6194952.5</v>
      </c>
      <c r="AW68" s="113">
        <f t="shared" si="102"/>
        <v>366105521.51</v>
      </c>
      <c r="AX68" s="113">
        <f t="shared" si="102"/>
        <v>274754624.31999993</v>
      </c>
      <c r="AY68" s="113">
        <f t="shared" si="102"/>
        <v>-17758350.750000015</v>
      </c>
      <c r="AZ68" s="113">
        <f t="shared" si="102"/>
        <v>256996273.56999987</v>
      </c>
      <c r="BA68" s="113">
        <f t="shared" si="102"/>
        <v>304701901.5900001</v>
      </c>
      <c r="BB68" s="113">
        <f t="shared" si="102"/>
        <v>-18110133.109999985</v>
      </c>
      <c r="BC68" s="113">
        <f t="shared" si="102"/>
        <v>286591768.48000014</v>
      </c>
      <c r="BD68" s="113">
        <f t="shared" si="102"/>
        <v>337028704.1199999</v>
      </c>
      <c r="BE68" s="113">
        <f t="shared" si="102"/>
        <v>-19237617.75</v>
      </c>
      <c r="BF68" s="113">
        <f t="shared" si="102"/>
        <v>317791086.3699999</v>
      </c>
      <c r="BG68" s="113">
        <f t="shared" si="102"/>
        <v>420002640.93999994</v>
      </c>
      <c r="BH68" s="113">
        <f t="shared" si="103"/>
        <v>-21461527.970000006</v>
      </c>
      <c r="BI68" s="113">
        <f t="shared" si="103"/>
        <v>398541112.9699999</v>
      </c>
      <c r="BJ68" s="113">
        <f t="shared" si="103"/>
        <v>131597106.85999998</v>
      </c>
      <c r="BK68" s="113">
        <f t="shared" si="103"/>
        <v>-26765155.700000003</v>
      </c>
      <c r="BL68" s="113">
        <f t="shared" si="103"/>
        <v>104831951.16000003</v>
      </c>
      <c r="BM68" s="113">
        <f t="shared" si="103"/>
        <v>-253323698.4</v>
      </c>
      <c r="BN68" s="113">
        <f t="shared" si="103"/>
        <v>-15434111.239999996</v>
      </c>
      <c r="BO68" s="113">
        <f t="shared" si="103"/>
        <v>-268757809.64</v>
      </c>
      <c r="BP68" s="113">
        <f t="shared" si="103"/>
        <v>-128454887.75</v>
      </c>
      <c r="BQ68" s="113">
        <f t="shared" si="103"/>
        <v>-2166241.59</v>
      </c>
      <c r="BR68" s="113">
        <f t="shared" si="103"/>
        <v>-130621129.34</v>
      </c>
      <c r="BS68" s="113">
        <f t="shared" si="103"/>
        <v>0</v>
      </c>
      <c r="BT68" s="113">
        <f t="shared" si="103"/>
        <v>0</v>
      </c>
      <c r="BU68" s="113">
        <f t="shared" si="103"/>
        <v>0</v>
      </c>
      <c r="BV68" s="113">
        <f t="shared" si="103"/>
        <v>0</v>
      </c>
      <c r="BW68" s="113">
        <f t="shared" si="103"/>
        <v>0</v>
      </c>
      <c r="BX68" s="113">
        <f t="shared" si="103"/>
        <v>0</v>
      </c>
      <c r="BY68" s="113">
        <f t="shared" si="103"/>
        <v>0</v>
      </c>
      <c r="BZ68" s="113">
        <f t="shared" si="103"/>
        <v>0</v>
      </c>
      <c r="CA68" s="113">
        <f t="shared" si="103"/>
        <v>0</v>
      </c>
      <c r="CB68" s="113">
        <f t="shared" si="103"/>
        <v>0</v>
      </c>
      <c r="CC68" s="113">
        <f t="shared" si="103"/>
        <v>0</v>
      </c>
      <c r="CD68" s="113">
        <f t="shared" si="103"/>
        <v>0</v>
      </c>
      <c r="CE68" s="113">
        <f t="shared" si="103"/>
        <v>0</v>
      </c>
      <c r="CF68" s="113">
        <f t="shared" si="103"/>
        <v>0</v>
      </c>
      <c r="CG68" s="113">
        <f t="shared" si="103"/>
        <v>0</v>
      </c>
      <c r="CH68" s="113">
        <f t="shared" si="103"/>
        <v>0</v>
      </c>
      <c r="CI68" s="113">
        <f t="shared" si="103"/>
        <v>0</v>
      </c>
      <c r="CJ68" s="113">
        <f t="shared" si="103"/>
        <v>0</v>
      </c>
      <c r="CK68" s="89"/>
      <c r="CL68" s="89"/>
      <c r="CM68" s="89"/>
    </row>
    <row r="69" spans="1:91" ht="15" hidden="1">
      <c r="A69" s="112" t="s">
        <v>133</v>
      </c>
      <c r="B69" s="113">
        <f t="shared" si="102"/>
        <v>-532492873.6355112</v>
      </c>
      <c r="C69" s="113">
        <f t="shared" si="102"/>
        <v>527703196.9815921</v>
      </c>
      <c r="D69" s="113">
        <f t="shared" si="102"/>
        <v>-4789676.653918982</v>
      </c>
      <c r="E69" s="113">
        <f t="shared" si="102"/>
        <v>-397422147.9283412</v>
      </c>
      <c r="F69" s="113">
        <f t="shared" si="102"/>
        <v>513215196.83487725</v>
      </c>
      <c r="G69" s="113">
        <f t="shared" si="102"/>
        <v>115793048.90653598</v>
      </c>
      <c r="H69" s="113">
        <f t="shared" si="102"/>
        <v>-184940917.76759005</v>
      </c>
      <c r="I69" s="113">
        <f t="shared" si="102"/>
        <v>476048912.94964623</v>
      </c>
      <c r="J69" s="113">
        <f t="shared" si="102"/>
        <v>291107995.18205607</v>
      </c>
      <c r="K69" s="113">
        <f t="shared" si="102"/>
        <v>-94035912.59601259</v>
      </c>
      <c r="L69" s="113">
        <f t="shared" si="102"/>
        <v>439955327.1846236</v>
      </c>
      <c r="M69" s="113">
        <f t="shared" si="102"/>
        <v>345919414.5886109</v>
      </c>
      <c r="N69" s="113">
        <f t="shared" si="102"/>
        <v>-23949335.526000023</v>
      </c>
      <c r="O69" s="113">
        <f t="shared" si="102"/>
        <v>401718217.7187481</v>
      </c>
      <c r="P69" s="113">
        <f t="shared" si="102"/>
        <v>377768882.19274807</v>
      </c>
      <c r="Q69" s="113">
        <f t="shared" si="102"/>
        <v>-15447323.078000069</v>
      </c>
      <c r="R69" s="113">
        <f t="shared" si="102"/>
        <v>375126605.3788726</v>
      </c>
      <c r="S69" s="113">
        <f t="shared" si="102"/>
        <v>359679282.30087256</v>
      </c>
      <c r="T69" s="113">
        <f t="shared" si="102"/>
        <v>483962851.25591993</v>
      </c>
      <c r="U69" s="113">
        <f t="shared" si="102"/>
        <v>340531846.28099716</v>
      </c>
      <c r="V69" s="113">
        <f t="shared" si="102"/>
        <v>824494697.5369172</v>
      </c>
      <c r="W69" s="113">
        <f t="shared" si="102"/>
        <v>480103049.31999993</v>
      </c>
      <c r="X69" s="113">
        <f t="shared" si="102"/>
        <v>282984693.23512167</v>
      </c>
      <c r="Y69" s="113">
        <f t="shared" si="102"/>
        <v>763087742.5551217</v>
      </c>
      <c r="Z69" s="113">
        <f t="shared" si="102"/>
        <v>385865012.8399998</v>
      </c>
      <c r="AA69" s="113">
        <f t="shared" si="102"/>
        <v>231180932.4002461</v>
      </c>
      <c r="AB69" s="113">
        <f t="shared" si="102"/>
        <v>617045945.2402459</v>
      </c>
      <c r="AC69" s="113">
        <f t="shared" si="102"/>
        <v>-62526144.94300008</v>
      </c>
      <c r="AD69" s="113">
        <f t="shared" si="102"/>
        <v>186020721.01914465</v>
      </c>
      <c r="AE69" s="113">
        <f t="shared" si="102"/>
        <v>123494576.07614458</v>
      </c>
      <c r="AF69" s="113">
        <f t="shared" si="102"/>
        <v>-21516665.73300004</v>
      </c>
      <c r="AG69" s="113">
        <f t="shared" si="102"/>
        <v>150064167.9384529</v>
      </c>
      <c r="AH69" s="113">
        <f t="shared" si="102"/>
        <v>128547502.20545292</v>
      </c>
      <c r="AI69" s="113">
        <f t="shared" si="102"/>
        <v>-2283190.500000119</v>
      </c>
      <c r="AJ69" s="113">
        <f t="shared" si="102"/>
        <v>117276418.89030254</v>
      </c>
      <c r="AK69" s="113">
        <f t="shared" si="102"/>
        <v>114993228.39030242</v>
      </c>
      <c r="AL69" s="113">
        <f t="shared" si="102"/>
        <v>23567644.10799992</v>
      </c>
      <c r="AM69" s="113">
        <f t="shared" si="102"/>
        <v>86034947.33841431</v>
      </c>
      <c r="AN69" s="113">
        <f t="shared" si="102"/>
        <v>109602591.44641423</v>
      </c>
      <c r="AO69" s="113">
        <f t="shared" si="102"/>
        <v>18412367.222000003</v>
      </c>
      <c r="AP69" s="113">
        <f t="shared" si="102"/>
        <v>57936870.43836956</v>
      </c>
      <c r="AQ69" s="113">
        <f t="shared" si="102"/>
        <v>76349237.66036952</v>
      </c>
      <c r="AR69" s="113">
        <f t="shared" si="102"/>
        <v>-55645516.849999905</v>
      </c>
      <c r="AS69" s="113">
        <f t="shared" si="102"/>
        <v>34168698.71254456</v>
      </c>
      <c r="AT69" s="113">
        <f t="shared" si="102"/>
        <v>-21476818.137455344</v>
      </c>
      <c r="AU69" s="113">
        <f t="shared" si="102"/>
        <v>-76482038.38599998</v>
      </c>
      <c r="AV69" s="113">
        <f t="shared" si="102"/>
        <v>13907902.550256997</v>
      </c>
      <c r="AW69" s="113">
        <f t="shared" si="102"/>
        <v>-62574135.83574301</v>
      </c>
      <c r="AX69" s="113">
        <f t="shared" si="102"/>
        <v>-195968420.943</v>
      </c>
      <c r="AY69" s="113">
        <f t="shared" si="102"/>
        <v>303100.924999997</v>
      </c>
      <c r="AZ69" s="113">
        <f t="shared" si="102"/>
        <v>-195665320.018</v>
      </c>
      <c r="BA69" s="113">
        <f t="shared" si="102"/>
        <v>-222922740.79499918</v>
      </c>
      <c r="BB69" s="113">
        <f t="shared" si="102"/>
        <v>-4310853.07</v>
      </c>
      <c r="BC69" s="113">
        <f t="shared" si="102"/>
        <v>-227233593.86499918</v>
      </c>
      <c r="BD69" s="113">
        <f t="shared" si="102"/>
        <v>-276446194.5</v>
      </c>
      <c r="BE69" s="113">
        <f t="shared" si="102"/>
        <v>-5039242.300000001</v>
      </c>
      <c r="BF69" s="113">
        <f t="shared" si="102"/>
        <v>-281485436.8</v>
      </c>
      <c r="BG69" s="113">
        <f t="shared" si="102"/>
        <v>-144070218.60000002</v>
      </c>
      <c r="BH69" s="113">
        <f t="shared" si="103"/>
        <v>-2165565.4</v>
      </c>
      <c r="BI69" s="113">
        <f t="shared" si="103"/>
        <v>-146235784.00000003</v>
      </c>
      <c r="BJ69" s="113">
        <f t="shared" si="103"/>
        <v>-80100216</v>
      </c>
      <c r="BK69" s="113">
        <f t="shared" si="103"/>
        <v>-693100.1699999999</v>
      </c>
      <c r="BL69" s="113">
        <f t="shared" si="103"/>
        <v>-80793316.17</v>
      </c>
      <c r="BM69" s="113">
        <f t="shared" si="103"/>
        <v>0</v>
      </c>
      <c r="BN69" s="113">
        <f t="shared" si="103"/>
        <v>0</v>
      </c>
      <c r="BO69" s="113">
        <f t="shared" si="103"/>
        <v>0</v>
      </c>
      <c r="BP69" s="113">
        <f t="shared" si="103"/>
        <v>0</v>
      </c>
      <c r="BQ69" s="113">
        <f t="shared" si="103"/>
        <v>0</v>
      </c>
      <c r="BR69" s="113">
        <f t="shared" si="103"/>
        <v>0</v>
      </c>
      <c r="BS69" s="113">
        <f t="shared" si="103"/>
        <v>0</v>
      </c>
      <c r="BT69" s="113">
        <f t="shared" si="103"/>
        <v>0</v>
      </c>
      <c r="BU69" s="113">
        <f t="shared" si="103"/>
        <v>0</v>
      </c>
      <c r="BV69" s="113">
        <f t="shared" si="103"/>
        <v>0</v>
      </c>
      <c r="BW69" s="113">
        <f t="shared" si="103"/>
        <v>0</v>
      </c>
      <c r="BX69" s="113">
        <f t="shared" si="103"/>
        <v>0</v>
      </c>
      <c r="BY69" s="113">
        <f t="shared" si="103"/>
        <v>0</v>
      </c>
      <c r="BZ69" s="113">
        <f t="shared" si="103"/>
        <v>0</v>
      </c>
      <c r="CA69" s="113">
        <f t="shared" si="103"/>
        <v>0</v>
      </c>
      <c r="CB69" s="113">
        <f t="shared" si="103"/>
        <v>0</v>
      </c>
      <c r="CC69" s="113">
        <f t="shared" si="103"/>
        <v>0</v>
      </c>
      <c r="CD69" s="113">
        <f t="shared" si="103"/>
        <v>0</v>
      </c>
      <c r="CE69" s="113">
        <f t="shared" si="103"/>
        <v>0</v>
      </c>
      <c r="CF69" s="113">
        <f t="shared" si="103"/>
        <v>0</v>
      </c>
      <c r="CG69" s="113">
        <f t="shared" si="103"/>
        <v>0</v>
      </c>
      <c r="CH69" s="113">
        <f t="shared" si="103"/>
        <v>0</v>
      </c>
      <c r="CI69" s="113">
        <f t="shared" si="103"/>
        <v>0</v>
      </c>
      <c r="CJ69" s="113">
        <f t="shared" si="103"/>
        <v>0</v>
      </c>
      <c r="CK69" s="89"/>
      <c r="CL69" s="89"/>
      <c r="CM69" s="89"/>
    </row>
    <row r="70" spans="1:95" s="39" customFormat="1" ht="15" hidden="1">
      <c r="A70" s="112" t="s">
        <v>8</v>
      </c>
      <c r="B70" s="113">
        <f aca="true" t="shared" si="104" ref="B70:BG70">+B63-B65</f>
        <v>2122809131.5720365</v>
      </c>
      <c r="C70" s="113">
        <f t="shared" si="104"/>
        <v>-3956336965.14306</v>
      </c>
      <c r="D70" s="113">
        <f t="shared" si="104"/>
        <v>-1833527833.571025</v>
      </c>
      <c r="E70" s="113">
        <f t="shared" si="104"/>
        <v>1366682422.748939</v>
      </c>
      <c r="F70" s="113">
        <f t="shared" si="104"/>
        <v>-4948292239.202101</v>
      </c>
      <c r="G70" s="113">
        <f t="shared" si="104"/>
        <v>-3581609816.4531612</v>
      </c>
      <c r="H70" s="113">
        <f t="shared" si="104"/>
        <v>-112938438.06878376</v>
      </c>
      <c r="I70" s="113">
        <f t="shared" si="104"/>
        <v>-5229326404.970972</v>
      </c>
      <c r="J70" s="113">
        <f t="shared" si="104"/>
        <v>-5342264843.039755</v>
      </c>
      <c r="K70" s="113">
        <f t="shared" si="104"/>
        <v>-1427164841.0468311</v>
      </c>
      <c r="L70" s="113">
        <f t="shared" si="104"/>
        <v>-5417576092.035601</v>
      </c>
      <c r="M70" s="113">
        <f t="shared" si="104"/>
        <v>-6844740933.082432</v>
      </c>
      <c r="N70" s="113">
        <f t="shared" si="104"/>
        <v>-3080324744.2913265</v>
      </c>
      <c r="O70" s="113">
        <f t="shared" si="104"/>
        <v>-5643726176.932778</v>
      </c>
      <c r="P70" s="113">
        <f t="shared" si="104"/>
        <v>-8724050921.224106</v>
      </c>
      <c r="Q70" s="113">
        <f t="shared" si="104"/>
        <v>-3432617566.125597</v>
      </c>
      <c r="R70" s="113">
        <f t="shared" si="104"/>
        <v>-5774384487.266097</v>
      </c>
      <c r="S70" s="113">
        <f t="shared" si="104"/>
        <v>-9207002053.391695</v>
      </c>
      <c r="T70" s="113">
        <f t="shared" si="104"/>
        <v>-4316345423.146105</v>
      </c>
      <c r="U70" s="113">
        <f t="shared" si="104"/>
        <v>-5898618779.837841</v>
      </c>
      <c r="V70" s="113">
        <f t="shared" si="104"/>
        <v>-10214964202.983946</v>
      </c>
      <c r="W70" s="113">
        <f t="shared" si="104"/>
        <v>-5411837245.452753</v>
      </c>
      <c r="X70" s="113">
        <f t="shared" si="104"/>
        <v>-6102858351.055122</v>
      </c>
      <c r="Y70" s="113">
        <f t="shared" si="104"/>
        <v>-11514695596.507874</v>
      </c>
      <c r="Z70" s="113">
        <f t="shared" si="104"/>
        <v>-6338455469.985259</v>
      </c>
      <c r="AA70" s="113">
        <f t="shared" si="104"/>
        <v>-6137060466.160248</v>
      </c>
      <c r="AB70" s="113">
        <f t="shared" si="104"/>
        <v>-12475515936.145506</v>
      </c>
      <c r="AC70" s="113">
        <f t="shared" si="104"/>
        <v>-5679894047.390327</v>
      </c>
      <c r="AD70" s="113">
        <f t="shared" si="104"/>
        <v>-6154990388.219145</v>
      </c>
      <c r="AE70" s="113">
        <f t="shared" si="104"/>
        <v>-11834884435.609474</v>
      </c>
      <c r="AF70" s="113">
        <f t="shared" si="104"/>
        <v>-6128015347.089968</v>
      </c>
      <c r="AG70" s="113">
        <f t="shared" si="104"/>
        <v>-6230839083.628451</v>
      </c>
      <c r="AH70" s="113">
        <f t="shared" si="104"/>
        <v>-12358854430.71842</v>
      </c>
      <c r="AI70" s="113">
        <f t="shared" si="104"/>
        <v>-7017085590.57</v>
      </c>
      <c r="AJ70" s="113">
        <f t="shared" si="104"/>
        <v>-6324672604.900302</v>
      </c>
      <c r="AK70" s="113">
        <f t="shared" si="104"/>
        <v>-13341758195.470303</v>
      </c>
      <c r="AL70" s="113">
        <f t="shared" si="104"/>
        <v>-8268766938.398002</v>
      </c>
      <c r="AM70" s="113">
        <f t="shared" si="104"/>
        <v>-6399249837.118414</v>
      </c>
      <c r="AN70" s="113">
        <f t="shared" si="104"/>
        <v>-14668016775.516413</v>
      </c>
      <c r="AO70" s="113">
        <f t="shared" si="104"/>
        <v>-9138728587.462</v>
      </c>
      <c r="AP70" s="113">
        <f t="shared" si="104"/>
        <v>-6315741105.68837</v>
      </c>
      <c r="AQ70" s="113">
        <f t="shared" si="104"/>
        <v>-15454469693.150368</v>
      </c>
      <c r="AR70" s="113">
        <f t="shared" si="104"/>
        <v>-9875264792.880001</v>
      </c>
      <c r="AS70" s="113">
        <f t="shared" si="104"/>
        <v>-6171616708.9225445</v>
      </c>
      <c r="AT70" s="113">
        <f t="shared" si="104"/>
        <v>-16046881501.802542</v>
      </c>
      <c r="AU70" s="113">
        <f t="shared" si="104"/>
        <v>-10702653536.063997</v>
      </c>
      <c r="AV70" s="113">
        <f t="shared" si="104"/>
        <v>-5988039049.550256</v>
      </c>
      <c r="AW70" s="113">
        <f t="shared" si="104"/>
        <v>-16690692585.614256</v>
      </c>
      <c r="AX70" s="113">
        <f t="shared" si="104"/>
        <v>-11344414168.107002</v>
      </c>
      <c r="AY70" s="113">
        <f t="shared" si="104"/>
        <v>-5778242614.204999</v>
      </c>
      <c r="AZ70" s="113">
        <f t="shared" si="104"/>
        <v>-17122656782.312</v>
      </c>
      <c r="BA70" s="113">
        <f t="shared" si="104"/>
        <v>-12295320640.715002</v>
      </c>
      <c r="BB70" s="113">
        <f t="shared" si="104"/>
        <v>-5522432759.5199995</v>
      </c>
      <c r="BC70" s="113">
        <f t="shared" si="104"/>
        <v>-17817753400.234997</v>
      </c>
      <c r="BD70" s="113">
        <f t="shared" si="104"/>
        <v>-13286643620.789999</v>
      </c>
      <c r="BE70" s="113">
        <f t="shared" si="104"/>
        <v>-5228731193.469999</v>
      </c>
      <c r="BF70" s="113">
        <f t="shared" si="104"/>
        <v>-18515374814.26</v>
      </c>
      <c r="BG70" s="113">
        <f t="shared" si="104"/>
        <v>-14595150473.16</v>
      </c>
      <c r="BH70" s="113">
        <f aca="true" t="shared" si="105" ref="BH70:CJ70">+BH63-BH65</f>
        <v>-4881709307.679999</v>
      </c>
      <c r="BI70" s="113">
        <f t="shared" si="105"/>
        <v>-19476859780.840004</v>
      </c>
      <c r="BJ70" s="113">
        <f t="shared" si="105"/>
        <v>-15542966287.36</v>
      </c>
      <c r="BK70" s="113">
        <f t="shared" si="105"/>
        <v>-4477460226.58</v>
      </c>
      <c r="BL70" s="113">
        <f t="shared" si="105"/>
        <v>-20020426513.940002</v>
      </c>
      <c r="BM70" s="113">
        <f t="shared" si="105"/>
        <v>-16520581983.609999</v>
      </c>
      <c r="BN70" s="113">
        <f t="shared" si="105"/>
        <v>-4004518357.35</v>
      </c>
      <c r="BO70" s="113">
        <f t="shared" si="105"/>
        <v>-20525100340.96</v>
      </c>
      <c r="BP70" s="113">
        <f t="shared" si="105"/>
        <v>-18020268251.96</v>
      </c>
      <c r="BQ70" s="113">
        <f t="shared" si="105"/>
        <v>-3467063442.08</v>
      </c>
      <c r="BR70" s="113">
        <f t="shared" si="105"/>
        <v>-21487331694.039997</v>
      </c>
      <c r="BS70" s="113">
        <f t="shared" si="105"/>
        <v>-19632442336.09</v>
      </c>
      <c r="BT70" s="113">
        <f t="shared" si="105"/>
        <v>-2838934055.54</v>
      </c>
      <c r="BU70" s="113">
        <f t="shared" si="105"/>
        <v>-22471376391.630005</v>
      </c>
      <c r="BV70" s="113">
        <f t="shared" si="105"/>
        <v>-21228802422.11</v>
      </c>
      <c r="BW70" s="113">
        <f t="shared" si="105"/>
        <v>-2126171360.2799997</v>
      </c>
      <c r="BX70" s="113">
        <f t="shared" si="105"/>
        <v>-23354973782.39</v>
      </c>
      <c r="BY70" s="113">
        <f t="shared" si="105"/>
        <v>-20444806834.109997</v>
      </c>
      <c r="BZ70" s="113">
        <f t="shared" si="105"/>
        <v>-1309210153.5699997</v>
      </c>
      <c r="CA70" s="113">
        <f t="shared" si="105"/>
        <v>-21754016987.68</v>
      </c>
      <c r="CB70" s="113">
        <f t="shared" si="105"/>
        <v>-9056268866.07</v>
      </c>
      <c r="CC70" s="113">
        <f t="shared" si="105"/>
        <v>-774557785.21</v>
      </c>
      <c r="CD70" s="113">
        <f t="shared" si="105"/>
        <v>-9830826651.28</v>
      </c>
      <c r="CE70" s="113">
        <f t="shared" si="105"/>
        <v>-9864686576.519999</v>
      </c>
      <c r="CF70" s="113">
        <f t="shared" si="105"/>
        <v>-418132525.87999994</v>
      </c>
      <c r="CG70" s="113">
        <f t="shared" si="105"/>
        <v>-10282819102.4</v>
      </c>
      <c r="CH70" s="113">
        <f t="shared" si="105"/>
        <v>-5361746339.92</v>
      </c>
      <c r="CI70" s="113">
        <f t="shared" si="105"/>
        <v>-51690298.24000002</v>
      </c>
      <c r="CJ70" s="113">
        <f t="shared" si="105"/>
        <v>-5413436638.160001</v>
      </c>
      <c r="CK70" s="89"/>
      <c r="CL70" s="89"/>
      <c r="CM70" s="89"/>
      <c r="CO70"/>
      <c r="CP70"/>
      <c r="CQ70"/>
    </row>
    <row r="71" spans="1:91" s="39" customFormat="1" ht="15">
      <c r="A71" s="127" t="s">
        <v>264</v>
      </c>
      <c r="B71" s="91">
        <f>+B10-'[13]intra'!$AJ$73</f>
        <v>-11304243903.871975</v>
      </c>
      <c r="C71" s="91">
        <f>+C10-'[13]intra'!$AK$73</f>
        <v>1029813692.2207947</v>
      </c>
      <c r="D71" s="91">
        <f>+B71+C71</f>
        <v>-10274430211.65118</v>
      </c>
      <c r="E71" s="91">
        <f>+E10-'[13]intra'!$AJ$86</f>
        <v>-9409858069.02388</v>
      </c>
      <c r="F71" s="91">
        <f>+F10-'[13]intra'!$AK$86</f>
        <v>1704439711.5629025</v>
      </c>
      <c r="G71" s="91">
        <f>+E71+F71</f>
        <v>-7705418357.460978</v>
      </c>
      <c r="H71" s="91">
        <f>+H10-'[13]intra'!$AJ$99</f>
        <v>-8321205312.219978</v>
      </c>
      <c r="I71" s="91">
        <f>+I10-'[13]intra'!$AK$99</f>
        <v>2369997735.4387846</v>
      </c>
      <c r="J71" s="91">
        <f>+H71+I71</f>
        <v>-5951207576.781194</v>
      </c>
      <c r="K71" s="91">
        <f>+K10-'[13]intra'!$AJ$112</f>
        <v>-6385402484.731636</v>
      </c>
      <c r="L71" s="91">
        <f>+L10-'[13]intra'!$AK$112</f>
        <v>2906082948.3528156</v>
      </c>
      <c r="M71" s="91">
        <f>+K71+L71</f>
        <v>-3479319536.3788204</v>
      </c>
      <c r="N71" s="91">
        <f>+N10-'[13]intra'!$AJ$125</f>
        <v>-3402581477.2640705</v>
      </c>
      <c r="O71" s="91">
        <f>+O10-'[13]intra'!$AK$125</f>
        <v>3369532463.821434</v>
      </c>
      <c r="P71" s="91">
        <f>+N71+O71</f>
        <v>-33049013.44263649</v>
      </c>
      <c r="Q71" s="91">
        <f>+Q10-'[13]intra'!$AJ$138</f>
        <v>-182546413.6607809</v>
      </c>
      <c r="R71" s="91">
        <f>+R10-'[13]intra'!$AK$138</f>
        <v>3757483459.9883595</v>
      </c>
      <c r="S71" s="91">
        <f>+Q71+R71</f>
        <v>3574937046.3275785</v>
      </c>
      <c r="T71" s="91">
        <f>+T10-'[13]intra'!$AJ$151</f>
        <v>3830401362.11602</v>
      </c>
      <c r="U71" s="91">
        <f>+U10-'[13]intra'!$AK$151</f>
        <v>3868855971.17984</v>
      </c>
      <c r="V71" s="91">
        <f>+T71+U71</f>
        <v>7699257333.29586</v>
      </c>
      <c r="W71" s="91">
        <f>+W10-'[13]intra'!$AJ$164</f>
        <v>3526547638.3963013</v>
      </c>
      <c r="X71" s="91">
        <f>+X10-'[13]intra'!$AK$164</f>
        <v>3999550397.865568</v>
      </c>
      <c r="Y71" s="91">
        <f>+W71+X71</f>
        <v>7526098036.261869</v>
      </c>
      <c r="Z71" s="91">
        <f>+Z10-'[13]intra'!$AJ$177</f>
        <v>3581443124.628454</v>
      </c>
      <c r="AA71" s="91">
        <f>+AA10-'[13]intra'!$AK$177</f>
        <v>4048860247.518364</v>
      </c>
      <c r="AB71" s="91">
        <f>+Z71+AA71</f>
        <v>7630303372.146818</v>
      </c>
      <c r="AC71" s="91">
        <f>+AC10-'[13]intra'!$AJ$190</f>
        <v>3374923421.67025</v>
      </c>
      <c r="AD71" s="91">
        <f>+AD10-'[13]intra'!$AK$190</f>
        <v>4114047935.1137753</v>
      </c>
      <c r="AE71" s="91">
        <f>+AC71+AD71</f>
        <v>7488971356.784025</v>
      </c>
      <c r="AF71" s="91">
        <f>+AF10-'[13]intra'!$AJ$203</f>
        <v>4219384449.755436</v>
      </c>
      <c r="AG71" s="91">
        <f>+AG10-'[13]intra'!$AK$203</f>
        <v>4211008526.0585957</v>
      </c>
      <c r="AH71" s="91">
        <f>+AF71+AG71</f>
        <v>8430392975.814032</v>
      </c>
      <c r="AI71" s="91">
        <f>+AI10-'[13]intra'!$AJ$216</f>
        <v>4847919803.610882</v>
      </c>
      <c r="AJ71" s="91">
        <f>+AJ10-'[13]intra'!$AK$216</f>
        <v>4266636047.2562294</v>
      </c>
      <c r="AK71" s="91">
        <f>+AI71+AJ71</f>
        <v>9114555850.867111</v>
      </c>
      <c r="AL71" s="91">
        <f>+AL10-'[13]intra'!$AJ$229</f>
        <v>5404384500.531561</v>
      </c>
      <c r="AM71" s="91">
        <f>+AM10-'[13]intra'!$AK$229</f>
        <v>4300839545.037519</v>
      </c>
      <c r="AN71" s="91">
        <f>+AL71+AM71</f>
        <v>9705224045.56908</v>
      </c>
      <c r="AO71" s="91">
        <f>+AO10-'[13]intra'!$AJ$242</f>
        <v>5828153838.0669565</v>
      </c>
      <c r="AP71" s="91">
        <f>+AP10-'[13]intra'!$AK$242</f>
        <v>4238280123.438688</v>
      </c>
      <c r="AQ71" s="91">
        <f>+AO71+AP71</f>
        <v>10066433961.505644</v>
      </c>
      <c r="AR71" s="91">
        <f>+AR10-'[13]intra'!$AJ$255</f>
        <v>6247559814.40257</v>
      </c>
      <c r="AS71" s="91">
        <f>+AS10-'[13]intra'!$AK$255</f>
        <v>4157553534.4755635</v>
      </c>
      <c r="AT71" s="91">
        <f>+AR71+AS71</f>
        <v>10405113348.878134</v>
      </c>
      <c r="AU71" s="91">
        <f>+AU10-'[13]intra'!$AJ$268</f>
        <v>6808985409.0254345</v>
      </c>
      <c r="AV71" s="91">
        <f>+AV10-'[13]intra'!$AK$268</f>
        <v>4054283282.9194207</v>
      </c>
      <c r="AW71" s="91">
        <f>+AU71+AV71</f>
        <v>10863268691.944855</v>
      </c>
      <c r="AX71" s="91">
        <f>+AX10-'[13]intra'!$AJ$281</f>
        <v>7072414846.96098</v>
      </c>
      <c r="AY71" s="91">
        <f>+AY10-'[13]intra'!$AK$281</f>
        <v>3939139184.692284</v>
      </c>
      <c r="AZ71" s="91">
        <f>+AX71+AY71</f>
        <v>11011554031.653265</v>
      </c>
      <c r="BA71" s="91">
        <f>+BA10-'[13]intra'!$AJ$294</f>
        <v>7885883196.411289</v>
      </c>
      <c r="BB71" s="91">
        <f>+BB10-'[13]intra'!$AK$294</f>
        <v>3794873536.1607575</v>
      </c>
      <c r="BC71" s="91">
        <f>+BA71+BB71</f>
        <v>11680756732.572046</v>
      </c>
      <c r="BD71" s="91">
        <f>+BD10-'[13]intra'!$AJ$307</f>
        <v>8549611661.349813</v>
      </c>
      <c r="BE71" s="91">
        <f>+BE10-'[13]intra'!$AK$307</f>
        <v>3616653889.8116713</v>
      </c>
      <c r="BF71" s="91">
        <f>+BD71+BE71</f>
        <v>12166265551.161484</v>
      </c>
      <c r="BG71" s="91">
        <f>+BG10-'[13]intra'!$AJ$320</f>
        <v>9375306494.5001</v>
      </c>
      <c r="BH71" s="91">
        <f>+BH10-'[13]intra'!$AK$320</f>
        <v>3402894595.5718317</v>
      </c>
      <c r="BI71" s="91">
        <f>+BG71+BH71</f>
        <v>12778201090.07193</v>
      </c>
      <c r="BJ71" s="91">
        <f>+BJ10-'[13]intra'!$AJ$333</f>
        <v>10130571965.076454</v>
      </c>
      <c r="BK71" s="91">
        <f>+BK10-'[13]intra'!$AK$333</f>
        <v>3154591842.894643</v>
      </c>
      <c r="BL71" s="91">
        <f>+BJ71+BK71</f>
        <v>13285163807.971096</v>
      </c>
      <c r="BM71" s="91">
        <f>+BM10-'[13]intra'!$AJ$346</f>
        <v>10941247295.559998</v>
      </c>
      <c r="BN71" s="91">
        <f>+BN10-'[13]intra'!$AK$346</f>
        <v>2844786379.69</v>
      </c>
      <c r="BO71" s="91">
        <f>+BM71+BN71</f>
        <v>13786033675.249998</v>
      </c>
      <c r="BP71" s="91">
        <f>+BP10-'[13]intra'!$AJ$359</f>
        <v>11879162785.87</v>
      </c>
      <c r="BQ71" s="91">
        <f>+BQ10-'[13]intra'!$AK$359</f>
        <v>2492895136.2799997</v>
      </c>
      <c r="BR71" s="91">
        <f>+BP71+BQ71</f>
        <v>14372057922.150002</v>
      </c>
      <c r="BS71" s="91">
        <f>+BS10-'[13]intra'!$AJ$372</f>
        <v>12895333344.039999</v>
      </c>
      <c r="BT71" s="91">
        <f>+BT10-'[13]intra'!$AK$372</f>
        <v>2086649630.64</v>
      </c>
      <c r="BU71" s="91">
        <f>+BS71+BT71</f>
        <v>14981982974.679998</v>
      </c>
      <c r="BV71" s="91">
        <f>+BV10-'[13]intra'!$AJ$385</f>
        <v>13991357650.830004</v>
      </c>
      <c r="BW71" s="91">
        <f>+BW10-'[13]intra'!$AK$385</f>
        <v>1625108129.1999998</v>
      </c>
      <c r="BX71" s="91">
        <f>+BV71+BW71</f>
        <v>15616465780.030003</v>
      </c>
      <c r="BY71" s="91">
        <f>+BY10-'[13]intra'!$AJ$398</f>
        <v>12672085441.249998</v>
      </c>
      <c r="BZ71" s="91">
        <f>+BZ10-'[13]intra'!$AK$398</f>
        <v>1088633534.1699996</v>
      </c>
      <c r="CA71" s="91">
        <f>+BY71+BZ71</f>
        <v>13760718975.419998</v>
      </c>
      <c r="CB71" s="91">
        <f>+CB10-'[13]intra'!$AJ$411</f>
        <v>2634593631.9900017</v>
      </c>
      <c r="CC71" s="91">
        <f>+CC10-'[13]intra'!$AK$411</f>
        <v>869413825.75</v>
      </c>
      <c r="CD71" s="91">
        <f>+CB71+CC71</f>
        <v>3504007457.7400017</v>
      </c>
      <c r="CE71" s="91">
        <f>+CE10-'[13]intra'!$AJ$424</f>
        <v>12884565372.099998</v>
      </c>
      <c r="CF71" s="91">
        <f>+CF10-'[13]intra'!$AK$424</f>
        <v>599010212.79</v>
      </c>
      <c r="CG71" s="91">
        <f>+CE71+CF71</f>
        <v>13483575584.89</v>
      </c>
      <c r="CK71" s="91"/>
      <c r="CL71" s="91"/>
      <c r="CM71" s="91"/>
    </row>
    <row r="72" s="39" customFormat="1" ht="15">
      <c r="A72" s="39">
        <v>2020</v>
      </c>
    </row>
    <row r="73" s="39" customFormat="1" ht="15">
      <c r="A73" s="39">
        <f aca="true" t="shared" si="106" ref="A73:A102">+A72+1</f>
        <v>2021</v>
      </c>
    </row>
    <row r="74" s="39" customFormat="1" ht="15">
      <c r="A74" s="39">
        <f t="shared" si="106"/>
        <v>2022</v>
      </c>
    </row>
    <row r="75" s="39" customFormat="1" ht="15">
      <c r="A75" s="39">
        <f t="shared" si="106"/>
        <v>2023</v>
      </c>
    </row>
    <row r="76" s="39" customFormat="1" ht="15">
      <c r="A76" s="39">
        <f t="shared" si="106"/>
        <v>2024</v>
      </c>
    </row>
    <row r="77" s="39" customFormat="1" ht="15">
      <c r="A77" s="39">
        <f t="shared" si="106"/>
        <v>2025</v>
      </c>
    </row>
    <row r="78" s="39" customFormat="1" ht="15">
      <c r="A78" s="39">
        <f t="shared" si="106"/>
        <v>2026</v>
      </c>
    </row>
    <row r="79" s="39" customFormat="1" ht="15">
      <c r="A79" s="39">
        <f t="shared" si="106"/>
        <v>2027</v>
      </c>
    </row>
    <row r="80" s="39" customFormat="1" ht="15">
      <c r="A80" s="39">
        <f t="shared" si="106"/>
        <v>2028</v>
      </c>
    </row>
    <row r="81" s="39" customFormat="1" ht="15">
      <c r="A81" s="39">
        <f t="shared" si="106"/>
        <v>2029</v>
      </c>
    </row>
    <row r="82" s="39" customFormat="1" ht="15">
      <c r="A82" s="39">
        <f t="shared" si="106"/>
        <v>2030</v>
      </c>
    </row>
    <row r="83" s="39" customFormat="1" ht="15">
      <c r="A83" s="39">
        <f t="shared" si="106"/>
        <v>2031</v>
      </c>
    </row>
    <row r="84" s="39" customFormat="1" ht="15">
      <c r="A84" s="39">
        <f t="shared" si="106"/>
        <v>2032</v>
      </c>
    </row>
    <row r="85" s="39" customFormat="1" ht="15">
      <c r="A85" s="39">
        <f t="shared" si="106"/>
        <v>2033</v>
      </c>
    </row>
    <row r="86" s="39" customFormat="1" ht="15">
      <c r="A86" s="39">
        <f t="shared" si="106"/>
        <v>2034</v>
      </c>
    </row>
    <row r="87" s="39" customFormat="1" ht="15">
      <c r="A87" s="39">
        <f t="shared" si="106"/>
        <v>2035</v>
      </c>
    </row>
    <row r="88" s="39" customFormat="1" ht="15">
      <c r="A88" s="39">
        <f t="shared" si="106"/>
        <v>2036</v>
      </c>
    </row>
    <row r="89" s="39" customFormat="1" ht="15">
      <c r="A89" s="39">
        <f t="shared" si="106"/>
        <v>2037</v>
      </c>
    </row>
    <row r="90" s="39" customFormat="1" ht="15">
      <c r="A90" s="39">
        <f t="shared" si="106"/>
        <v>2038</v>
      </c>
    </row>
    <row r="91" s="39" customFormat="1" ht="15">
      <c r="A91" s="39">
        <f t="shared" si="106"/>
        <v>2039</v>
      </c>
    </row>
    <row r="92" s="39" customFormat="1" ht="15">
      <c r="A92" s="39">
        <f t="shared" si="106"/>
        <v>2040</v>
      </c>
    </row>
    <row r="93" s="39" customFormat="1" ht="15">
      <c r="A93" s="39">
        <f t="shared" si="106"/>
        <v>2041</v>
      </c>
    </row>
    <row r="94" s="39" customFormat="1" ht="15">
      <c r="A94" s="39">
        <f t="shared" si="106"/>
        <v>2042</v>
      </c>
    </row>
    <row r="95" s="39" customFormat="1" ht="15">
      <c r="A95" s="39">
        <f t="shared" si="106"/>
        <v>2043</v>
      </c>
    </row>
    <row r="96" s="39" customFormat="1" ht="15">
      <c r="A96" s="39">
        <f t="shared" si="106"/>
        <v>2044</v>
      </c>
    </row>
    <row r="97" s="39" customFormat="1" ht="15">
      <c r="A97" s="39">
        <f t="shared" si="106"/>
        <v>2045</v>
      </c>
    </row>
    <row r="98" s="39" customFormat="1" ht="15">
      <c r="A98" s="39">
        <f t="shared" si="106"/>
        <v>2046</v>
      </c>
    </row>
    <row r="99" s="39" customFormat="1" ht="15">
      <c r="A99" s="39">
        <f t="shared" si="106"/>
        <v>2047</v>
      </c>
    </row>
    <row r="100" s="39" customFormat="1" ht="15">
      <c r="A100" s="39">
        <f t="shared" si="106"/>
        <v>2048</v>
      </c>
    </row>
    <row r="101" s="39" customFormat="1" ht="15">
      <c r="A101" s="39">
        <f t="shared" si="106"/>
        <v>2049</v>
      </c>
    </row>
    <row r="102" s="39" customFormat="1" ht="15">
      <c r="A102" s="39">
        <f t="shared" si="106"/>
        <v>2050</v>
      </c>
    </row>
    <row r="103" s="39" customFormat="1" ht="15"/>
  </sheetData>
  <sheetProtection/>
  <mergeCells count="30">
    <mergeCell ref="B8:D8"/>
    <mergeCell ref="E8:G8"/>
    <mergeCell ref="H8:J8"/>
    <mergeCell ref="K8:M8"/>
    <mergeCell ref="N8:P8"/>
    <mergeCell ref="Q8:S8"/>
    <mergeCell ref="BD8:BF8"/>
    <mergeCell ref="BG8:BI8"/>
    <mergeCell ref="T8:V8"/>
    <mergeCell ref="W8:Y8"/>
    <mergeCell ref="Z8:AB8"/>
    <mergeCell ref="AC8:AE8"/>
    <mergeCell ref="AF8:AH8"/>
    <mergeCell ref="AI8:AK8"/>
    <mergeCell ref="AL8:AN8"/>
    <mergeCell ref="AO8:AQ8"/>
    <mergeCell ref="AR8:AT8"/>
    <mergeCell ref="AU8:AW8"/>
    <mergeCell ref="AX8:AZ8"/>
    <mergeCell ref="BA8:BC8"/>
    <mergeCell ref="BJ8:BL8"/>
    <mergeCell ref="BM8:BO8"/>
    <mergeCell ref="CH8:CJ8"/>
    <mergeCell ref="CK8:CM8"/>
    <mergeCell ref="BP8:BR8"/>
    <mergeCell ref="BS8:BU8"/>
    <mergeCell ref="BV8:BX8"/>
    <mergeCell ref="BY8:CA8"/>
    <mergeCell ref="CB8:CD8"/>
    <mergeCell ref="CE8:CG8"/>
  </mergeCells>
  <printOptions/>
  <pageMargins left="0.511811024" right="0.511811024" top="0.35" bottom="0.34" header="0.2" footer="0.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ctomaz</dc:creator>
  <cp:keywords/>
  <dc:description/>
  <cp:lastModifiedBy>Jose Ferreira Marinho Junior</cp:lastModifiedBy>
  <cp:lastPrinted>2015-05-26T15:11:40Z</cp:lastPrinted>
  <dcterms:created xsi:type="dcterms:W3CDTF">2009-12-22T14:14:20Z</dcterms:created>
  <dcterms:modified xsi:type="dcterms:W3CDTF">2024-04-30T18:49:51Z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  <property fmtid="{D5CDD505-2E9C-101B-9397-08002B2CF9AE}" pid="4" name="Sign-off status">
    <vt:lpwstr/>
  </property>
  <property fmtid="{D5CDD505-2E9C-101B-9397-08002B2CF9AE}" pid="5" name="GUIASREFERENTEDEPOSITOJUDICIAIS">
    <vt:lpwstr/>
  </property>
</Properties>
</file>